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Properties" sheetId="1" r:id="rId1"/>
    <sheet name="Mixing" sheetId="2" r:id="rId2"/>
    <sheet name="Heat Rec'ry" sheetId="3" r:id="rId3"/>
    <sheet name="Htg Coil" sheetId="4" r:id="rId4"/>
    <sheet name="Clg-Coil" sheetId="5" r:id="rId5"/>
    <sheet name="Clg Coil-BP" sheetId="6" r:id="rId6"/>
  </sheets>
  <definedNames>
    <definedName name="APHg">'Htg Coil'!$B$12</definedName>
    <definedName name="APinHg">'Properties'!$B$13</definedName>
    <definedName name="APinHgIn">'Clg-Coil'!$B$12</definedName>
    <definedName name="APpsia">'Htg Coil'!$B$11</definedName>
    <definedName name="AtmPress">'Properties'!$B$12</definedName>
    <definedName name="AtmPressIn">'Clg-Coil'!$B$11</definedName>
    <definedName name="BHP">'Clg-Coil'!$I$6</definedName>
    <definedName name="BPFactor" localSheetId="3">'Htg Coil'!#REF!</definedName>
    <definedName name="BPFactor">'Clg Coil-BP'!$B$6</definedName>
    <definedName name="cp">'Properties'!$B$18</definedName>
    <definedName name="DewPt1">'Properties'!$B$21</definedName>
    <definedName name="DewPt2">'Properties'!$F$21</definedName>
    <definedName name="DewPtHin">'Htg Coil'!$B$21</definedName>
    <definedName name="DewPtHout">'Htg Coil'!$F$16</definedName>
    <definedName name="DewPtHru">'Heat Rec''ry'!$H$24</definedName>
    <definedName name="DewPtIn">'Clg-Coil'!$B$21</definedName>
    <definedName name="DewPtOA">'Htg Coil'!$J$12</definedName>
    <definedName name="DewPtOut" localSheetId="4">'Clg-Coil'!$F$21</definedName>
    <definedName name="DewPtOut">'Heat Rec''ry'!$E$24</definedName>
    <definedName name="DewPtRet">'Clg Coil-BP'!$B$22</definedName>
    <definedName name="DewPtRm">'Heat Rec''ry'!$B$24</definedName>
    <definedName name="DewPtSup">'Clg Coil-BP'!$F$22</definedName>
    <definedName name="Elev" localSheetId="4">'Clg-Coil'!$B$10</definedName>
    <definedName name="Elev">'Clg Coil-BP'!$B$11</definedName>
    <definedName name="Elevation">'Properties'!$B$11</definedName>
    <definedName name="ElevH">'Htg Coil'!$B$10</definedName>
    <definedName name="ElevIn">'Clg-Coil'!$B$10</definedName>
    <definedName name="Enal1">'Properties'!$B$19</definedName>
    <definedName name="Enal2">'Properties'!$F$19</definedName>
    <definedName name="EnalFluid">'Htg Coil'!$J$16</definedName>
    <definedName name="EnalHin">'Htg Coil'!$B$19</definedName>
    <definedName name="EnalHout">'Htg Coil'!$F$14</definedName>
    <definedName name="EnalHru">'Heat Rec''ry'!$H$22</definedName>
    <definedName name="EnalIn">'Clg-Coil'!$B$19</definedName>
    <definedName name="EnalOA">'Htg Coil'!$J$10</definedName>
    <definedName name="EnalOut" localSheetId="4">'Clg-Coil'!$F$19</definedName>
    <definedName name="EnalOut">'Heat Rec''ry'!$E$22</definedName>
    <definedName name="EnalRet">'Clg Coil-BP'!$B$20</definedName>
    <definedName name="EnalRm">'Heat Rec''ry'!$B$22</definedName>
    <definedName name="EnalSup">'Clg Coil-BP'!$F$20</definedName>
    <definedName name="FanEff">'Clg-Coil'!$I$4</definedName>
    <definedName name="FluidTemp">'Htg Coil'!$J$15</definedName>
    <definedName name="FluidType">'Htg Coil'!$J$14</definedName>
    <definedName name="h">'Properties'!$B$19</definedName>
    <definedName name="HRatio1">'Properties'!$B$15</definedName>
    <definedName name="HRatio2">'Properties'!$F$15</definedName>
    <definedName name="HRatio3">'Mixing'!$D$16</definedName>
    <definedName name="HRatioadp">'Clg Coil-BP'!$F$10</definedName>
    <definedName name="HRatioHin">'Htg Coil'!$B$15</definedName>
    <definedName name="HRatioHout">'Htg Coil'!$F$10</definedName>
    <definedName name="HRatioHru">'Heat Rec''ry'!$H$18</definedName>
    <definedName name="HRatioIn">'Clg-Coil'!$B$15</definedName>
    <definedName name="HRatioNet">'Clg-Coil'!$I$15</definedName>
    <definedName name="HRatioOA">'Htg Coil'!$J$6</definedName>
    <definedName name="HRatioOut" localSheetId="4">'Clg-Coil'!$F$15</definedName>
    <definedName name="HRatioOut">'Heat Rec''ry'!$E$18</definedName>
    <definedName name="HRatioRet">'Clg Coil-BP'!$B$16</definedName>
    <definedName name="HRatioRm">'Heat Rec''ry'!$B$18</definedName>
    <definedName name="HRatioSup">'Clg Coil-BP'!$F$16</definedName>
    <definedName name="LatEff">'Heat Rec''ry'!$B$7</definedName>
    <definedName name="mflow1">'Mixing'!$B$10</definedName>
    <definedName name="mflow2">'Mixing'!$F$10</definedName>
    <definedName name="mflow3">'Mixing'!$D$13</definedName>
    <definedName name="mflowHin">'Htg Coil'!$B$6</definedName>
    <definedName name="mflowIn">'Clg-Coil'!$F$8</definedName>
    <definedName name="mflowOut">'Heat Rec''ry'!$B$11</definedName>
    <definedName name="mflowRet">'Clg Coil-BP'!$F$4</definedName>
    <definedName name="mfluid">'Htg Coil'!$J$17</definedName>
    <definedName name="MotorEff">'Clg-Coil'!$I$5</definedName>
    <definedName name="mwater">'Htg Coil'!$J$17</definedName>
    <definedName name="OAVentInfil">'Htg Coil'!$J$5</definedName>
    <definedName name="OutSup">'Clg-Coil'!$F$19</definedName>
    <definedName name="QAairSup">'Clg Coil-BP'!$F$6</definedName>
    <definedName name="Qair1">'Mixing'!$B$6</definedName>
    <definedName name="Qair2">'Mixing'!$F$6</definedName>
    <definedName name="QairEx">'Heat Rec''ry'!$B$15</definedName>
    <definedName name="QairHin">'Htg Coil'!$B$3</definedName>
    <definedName name="QairIn">'Clg-Coil'!$B$3</definedName>
    <definedName name="QairOut">'Heat Rec''ry'!$B$9</definedName>
    <definedName name="QairRet">'Clg Coil-BP'!$B$4</definedName>
    <definedName name="QairSup">'Clg Coil-BP'!$F$5</definedName>
    <definedName name="qFan">'Clg-Coil'!$I$7</definedName>
    <definedName name="qFurn">'Htg Coil'!$B$4</definedName>
    <definedName name="qHumid">'Htg Coil'!$J$18</definedName>
    <definedName name="QSairIn">'Clg-Coil'!$B$6</definedName>
    <definedName name="QSairRet">'Clg Coil-BP'!$B$7</definedName>
    <definedName name="qSenHru">'Heat Rec''ry'!$E$15</definedName>
    <definedName name="qSenNet">'Clg-Coil'!$I$9</definedName>
    <definedName name="qSensible">'Clg Coil-BP'!$F$13</definedName>
    <definedName name="qTotal">'Clg Coil-BP'!$F$12</definedName>
    <definedName name="qTotalHru">'Heat Rec''ry'!$E$14</definedName>
    <definedName name="qTotNet">'Clg-Coil'!$I$8</definedName>
    <definedName name="RelHum1">'Properties'!$B$17</definedName>
    <definedName name="RelHum2">'Properties'!$F$17</definedName>
    <definedName name="RelHumHin">'Htg Coil'!$B$17</definedName>
    <definedName name="RelHumHout">'Htg Coil'!$F$12</definedName>
    <definedName name="RelHumHru">'Heat Rec''ry'!$H$20</definedName>
    <definedName name="RelHumIn">'Clg-Coil'!$B$17</definedName>
    <definedName name="RelHumOA">'Htg Coil'!$J$8</definedName>
    <definedName name="RelHumOut" localSheetId="4">'Clg-Coil'!$F$17</definedName>
    <definedName name="RelHumOut">'Heat Rec''ry'!$E$20</definedName>
    <definedName name="RelHumRet">'Clg Coil-BP'!$B$18</definedName>
    <definedName name="RelHumRm">'Heat Rec''ry'!$B$20</definedName>
    <definedName name="RelHumSup">'Clg Coil-BP'!$F$18</definedName>
    <definedName name="RH">'Properties'!$B$17</definedName>
    <definedName name="SC">'Clg-Coil'!$B$5</definedName>
    <definedName name="SenEff">'Heat Rec''ry'!$B$6</definedName>
    <definedName name="SHRcoil">'Clg Coil-BP'!$F$14</definedName>
    <definedName name="SHRHru">'Heat Rec''ry'!$E$16</definedName>
    <definedName name="SHRNet">'Clg-Coil'!$I$10</definedName>
    <definedName name="SpHt1">'Properties'!$B$18</definedName>
    <definedName name="SpHt2">'Properties'!$F$18</definedName>
    <definedName name="SpHtHin">'Htg Coil'!$B$18</definedName>
    <definedName name="SpHtHout">'Htg Coil'!$F$13</definedName>
    <definedName name="SpHtHru">'Heat Rec''ry'!$H$21</definedName>
    <definedName name="SpHtIn">'Clg-Coil'!$B$18</definedName>
    <definedName name="SpHtOA">'Htg Coil'!$J$9</definedName>
    <definedName name="SpHtOut" localSheetId="4">'Clg-Coil'!$F$18</definedName>
    <definedName name="SpHtOut">'Heat Rec''ry'!$E$21</definedName>
    <definedName name="SpHtRet">'Clg Coil-BP'!$B$19</definedName>
    <definedName name="SpHtRm">'Heat Rec''ry'!$B$21</definedName>
    <definedName name="SpHtSup">'Clg Coil-BP'!$F$19</definedName>
    <definedName name="SpVol1">'Properties'!$B$20</definedName>
    <definedName name="SpVol2">'Properties'!$F$20</definedName>
    <definedName name="SpVol3">'Mixing'!$D$22</definedName>
    <definedName name="SpVolHin">'Htg Coil'!$B$20</definedName>
    <definedName name="SpVolHout">'Htg Coil'!$F$15</definedName>
    <definedName name="SpVolHru">'Heat Rec''ry'!$H$23</definedName>
    <definedName name="SpVolIn">'Clg-Coil'!$B$20</definedName>
    <definedName name="SpVolOA">'Htg Coil'!$J$11</definedName>
    <definedName name="SpVolOut" localSheetId="4">'Clg-Coil'!$F$20</definedName>
    <definedName name="SpVolOut">'Heat Rec''ry'!$E$23</definedName>
    <definedName name="SpVolRet">'Clg Coil-BP'!$B$21</definedName>
    <definedName name="SpVolRm">'Heat Rec''ry'!$B$23</definedName>
    <definedName name="SpVolSup">'Clg Coil-BP'!$F$21</definedName>
    <definedName name="SupFankW">'Heat Rec''ry'!$B$12</definedName>
    <definedName name="Tadp">'Clg Coil-BP'!$B$5</definedName>
    <definedName name="TC">'Clg-Coil'!$B$4</definedName>
    <definedName name="Tdb1">'Properties'!$B$9</definedName>
    <definedName name="Tdb2">'Properties'!$F$9</definedName>
    <definedName name="Tdb3">'Mixing'!$D$15</definedName>
    <definedName name="TdbHin">'Htg Coil'!$B$8</definedName>
    <definedName name="TdbHout">'Htg Coil'!$F$6</definedName>
    <definedName name="TdbHru">'Heat Rec''ry'!$H$14</definedName>
    <definedName name="TdbHumOut">'Htg Coil'!$J$19</definedName>
    <definedName name="TdbIn">'Clg-Coil'!$B$8</definedName>
    <definedName name="TdbNet">'Clg-Coil'!$I$12</definedName>
    <definedName name="TdbOut" localSheetId="4">'Clg-Coil'!$F$12</definedName>
    <definedName name="TdbOut">'Heat Rec''ry'!$F$9</definedName>
    <definedName name="TdbOutAir">'Htg Coil'!$J$3</definedName>
    <definedName name="TdbRet">'Clg Coil-BP'!$B$9</definedName>
    <definedName name="TdbRm">'Heat Rec''ry'!$F$6</definedName>
    <definedName name="TdbSup">'Clg Coil-BP'!$F$8</definedName>
    <definedName name="Tdrybulb">'Properties'!$B$9</definedName>
    <definedName name="Tdwb1">'Properties'!$B$10</definedName>
    <definedName name="TotalPress">'Clg-Coil'!$I$3</definedName>
    <definedName name="Twb1">'Properties'!$B$10</definedName>
    <definedName name="Twb2">'Properties'!$F$10</definedName>
    <definedName name="Twb3">'Mixing'!$D$18</definedName>
    <definedName name="TwbHin">'Htg Coil'!$B$9</definedName>
    <definedName name="TwbHout">'Htg Coil'!$F$7</definedName>
    <definedName name="TwbHru">'Heat Rec''ry'!$H$15</definedName>
    <definedName name="TwbIn">'Clg-Coil'!$B$9</definedName>
    <definedName name="TwbNet">'Clg-Coil'!$I$13</definedName>
    <definedName name="TwbOut" localSheetId="4">'Clg-Coil'!$F$13</definedName>
    <definedName name="TwbOut">'Heat Rec''ry'!$F$10</definedName>
    <definedName name="TwbOutAir">'Htg Coil'!$J$4</definedName>
    <definedName name="TwbRet">'Clg Coil-BP'!$B$10</definedName>
    <definedName name="TwbRm">'Heat Rec''ry'!$F$7</definedName>
    <definedName name="TwbSup">'Clg Coil-BP'!$F$9</definedName>
    <definedName name="Twetbulb">'Properties'!$B$10</definedName>
    <definedName name="v">'Properties'!$B$20</definedName>
    <definedName name="W">'Properties'!$B$15</definedName>
    <definedName name="W1_">'Properties'!$F$15</definedName>
  </definedNames>
  <calcPr fullCalcOnLoad="1"/>
</workbook>
</file>

<file path=xl/sharedStrings.xml><?xml version="1.0" encoding="utf-8"?>
<sst xmlns="http://schemas.openxmlformats.org/spreadsheetml/2006/main" count="420" uniqueCount="226">
  <si>
    <t>Elevation</t>
  </si>
  <si>
    <t>°F</t>
  </si>
  <si>
    <t>ft.</t>
  </si>
  <si>
    <t>lbw/lba</t>
  </si>
  <si>
    <t>AtmPress</t>
  </si>
  <si>
    <t>psia</t>
  </si>
  <si>
    <t>APinHg</t>
  </si>
  <si>
    <t>in Hg</t>
  </si>
  <si>
    <t>%</t>
  </si>
  <si>
    <t>Btu/lb-°F</t>
  </si>
  <si>
    <t>Btu/lb</t>
  </si>
  <si>
    <t>cu.ft./lb</t>
  </si>
  <si>
    <t>Grains</t>
  </si>
  <si>
    <t>Tdb1</t>
  </si>
  <si>
    <t>RelHum1</t>
  </si>
  <si>
    <t>HRatio1</t>
  </si>
  <si>
    <t>SpHt1</t>
  </si>
  <si>
    <t>Enal1</t>
  </si>
  <si>
    <t>SpVol1</t>
  </si>
  <si>
    <t>DewPt1</t>
  </si>
  <si>
    <t>Twb1</t>
  </si>
  <si>
    <t>Tdb2</t>
  </si>
  <si>
    <t>Twb2</t>
  </si>
  <si>
    <t>HRatio2</t>
  </si>
  <si>
    <t>RelHum2</t>
  </si>
  <si>
    <t>SpHt2</t>
  </si>
  <si>
    <t>Enal2</t>
  </si>
  <si>
    <t>SpVol2</t>
  </si>
  <si>
    <t>DewPt2</t>
  </si>
  <si>
    <t>Qair1</t>
  </si>
  <si>
    <t>cfm</t>
  </si>
  <si>
    <t>QSair1</t>
  </si>
  <si>
    <t>scfm</t>
  </si>
  <si>
    <t>Qair2</t>
  </si>
  <si>
    <t>QSair2</t>
  </si>
  <si>
    <t>mflow1</t>
  </si>
  <si>
    <t>mflow2</t>
  </si>
  <si>
    <t>lb/hr</t>
  </si>
  <si>
    <t>mflow3</t>
  </si>
  <si>
    <t>HRatio3</t>
  </si>
  <si>
    <t>RelHum3</t>
  </si>
  <si>
    <t>Tdb3</t>
  </si>
  <si>
    <t>Twb3</t>
  </si>
  <si>
    <t>SpHt3</t>
  </si>
  <si>
    <t>Enal3</t>
  </si>
  <si>
    <t>SpVol3</t>
  </si>
  <si>
    <t>DewPt3</t>
  </si>
  <si>
    <t>Tadp</t>
  </si>
  <si>
    <t>BPFactor</t>
  </si>
  <si>
    <t>TdbSup</t>
  </si>
  <si>
    <t>TwbSup</t>
  </si>
  <si>
    <t>HRatioSup</t>
  </si>
  <si>
    <t>RelHumSup</t>
  </si>
  <si>
    <t>SpHtSup</t>
  </si>
  <si>
    <t>EnalSup</t>
  </si>
  <si>
    <t>SpVolSup</t>
  </si>
  <si>
    <t>DewPtSup</t>
  </si>
  <si>
    <t>TdbRet</t>
  </si>
  <si>
    <t>TwbRet</t>
  </si>
  <si>
    <t>HRatioRet</t>
  </si>
  <si>
    <t>RelHumRet</t>
  </si>
  <si>
    <t>SpHtRet</t>
  </si>
  <si>
    <t>EnalRet</t>
  </si>
  <si>
    <t>SpVolRet</t>
  </si>
  <si>
    <t>DewPtRet</t>
  </si>
  <si>
    <t>HRatioadp</t>
  </si>
  <si>
    <t>QairRet</t>
  </si>
  <si>
    <t>QSairRet</t>
  </si>
  <si>
    <t>QairSup</t>
  </si>
  <si>
    <t>mflowRet</t>
  </si>
  <si>
    <t>QAairSup</t>
  </si>
  <si>
    <t>qTotal</t>
  </si>
  <si>
    <t>qSensible</t>
  </si>
  <si>
    <t>SHRcoil</t>
  </si>
  <si>
    <t>MBtu/h</t>
  </si>
  <si>
    <t>Outdoor</t>
  </si>
  <si>
    <t>HRU</t>
  </si>
  <si>
    <t>Effectiveness</t>
  </si>
  <si>
    <t>SenEff</t>
  </si>
  <si>
    <t>LatEff</t>
  </si>
  <si>
    <t>HRatioHru</t>
  </si>
  <si>
    <t>RelHumHru</t>
  </si>
  <si>
    <t>SpHtHru</t>
  </si>
  <si>
    <t>EnalHru</t>
  </si>
  <si>
    <t>SpVolHru</t>
  </si>
  <si>
    <t>DewPtHru</t>
  </si>
  <si>
    <t>TdbHru</t>
  </si>
  <si>
    <t>TwbHru</t>
  </si>
  <si>
    <t>Exhaust</t>
  </si>
  <si>
    <t>TdbOut</t>
  </si>
  <si>
    <t>TwbOut</t>
  </si>
  <si>
    <t>HRatioRm</t>
  </si>
  <si>
    <t>RelHumRm</t>
  </si>
  <si>
    <t>SpHtRm</t>
  </si>
  <si>
    <t>SpVolRm</t>
  </si>
  <si>
    <t>DewPtRm</t>
  </si>
  <si>
    <t>TdbRm</t>
  </si>
  <si>
    <t>TwbRm</t>
  </si>
  <si>
    <t>Room Air</t>
  </si>
  <si>
    <t>Outdoor Air</t>
  </si>
  <si>
    <t>EnalRm</t>
  </si>
  <si>
    <t>HRatioOut</t>
  </si>
  <si>
    <t>RelHumOut</t>
  </si>
  <si>
    <t>SpHtOut</t>
  </si>
  <si>
    <t>EnalOut</t>
  </si>
  <si>
    <t>SpVolOut</t>
  </si>
  <si>
    <t>DewPtOut</t>
  </si>
  <si>
    <t>QairOut</t>
  </si>
  <si>
    <t>QSairOut</t>
  </si>
  <si>
    <t>mflowOut</t>
  </si>
  <si>
    <t>QairEx</t>
  </si>
  <si>
    <t>QSairEx</t>
  </si>
  <si>
    <t>(not req'd)</t>
  </si>
  <si>
    <t>qTotalHru</t>
  </si>
  <si>
    <t>qSenHru</t>
  </si>
  <si>
    <t>SHRHru</t>
  </si>
  <si>
    <t>Elev.</t>
  </si>
  <si>
    <t>lbpCuFt</t>
  </si>
  <si>
    <t>HRU Outlet</t>
  </si>
  <si>
    <t>Capacities</t>
  </si>
  <si>
    <t>Temps.</t>
  </si>
  <si>
    <t>Qair3</t>
  </si>
  <si>
    <t>Stream 1</t>
  </si>
  <si>
    <t>Stream 2</t>
  </si>
  <si>
    <t>Stream 3</t>
  </si>
  <si>
    <t>(mixed)</t>
  </si>
  <si>
    <t>SupFankW</t>
  </si>
  <si>
    <t>kW</t>
  </si>
  <si>
    <t>ExFankW</t>
  </si>
  <si>
    <t>OALoads</t>
  </si>
  <si>
    <t>Elev</t>
  </si>
  <si>
    <t>TdbHin</t>
  </si>
  <si>
    <t>TwbHin</t>
  </si>
  <si>
    <t>ElevH</t>
  </si>
  <si>
    <t>QairHin</t>
  </si>
  <si>
    <t>APHg</t>
  </si>
  <si>
    <t>qFurn</t>
  </si>
  <si>
    <t>APpsia</t>
  </si>
  <si>
    <t>HRatioHin</t>
  </si>
  <si>
    <t>RelHumHin</t>
  </si>
  <si>
    <t>SpHtHin</t>
  </si>
  <si>
    <t>EnalHin</t>
  </si>
  <si>
    <t>SpVolHin</t>
  </si>
  <si>
    <t>DewPtHin</t>
  </si>
  <si>
    <t>QSairHin</t>
  </si>
  <si>
    <t>mflowHin</t>
  </si>
  <si>
    <t>Humidification</t>
  </si>
  <si>
    <t>HRatioHout</t>
  </si>
  <si>
    <t>RelHumHout</t>
  </si>
  <si>
    <t>SpHtHout</t>
  </si>
  <si>
    <t>EnalHout</t>
  </si>
  <si>
    <t>SpVolHout</t>
  </si>
  <si>
    <t>DewPtHout</t>
  </si>
  <si>
    <t>TdbHout</t>
  </si>
  <si>
    <t>TwbHout</t>
  </si>
  <si>
    <t>With</t>
  </si>
  <si>
    <t>% of supply</t>
  </si>
  <si>
    <t>FluidType</t>
  </si>
  <si>
    <t>OAVentInfil</t>
  </si>
  <si>
    <t>FluidTemp</t>
  </si>
  <si>
    <t>Without</t>
  </si>
  <si>
    <t>TdbOutAir</t>
  </si>
  <si>
    <t>TwbOutAir</t>
  </si>
  <si>
    <t>HRatioOA</t>
  </si>
  <si>
    <t>RelHumOA</t>
  </si>
  <si>
    <t>SpHtOA</t>
  </si>
  <si>
    <t>EnalOA</t>
  </si>
  <si>
    <t>SpVolOA</t>
  </si>
  <si>
    <t>DewPtOA</t>
  </si>
  <si>
    <t>qHumid</t>
  </si>
  <si>
    <t>EnalFluid</t>
  </si>
  <si>
    <t>TdbHumOut</t>
  </si>
  <si>
    <t xml:space="preserve">Inlet </t>
  </si>
  <si>
    <t>Conditions</t>
  </si>
  <si>
    <t>Outlet</t>
  </si>
  <si>
    <t>Sat Steam</t>
  </si>
  <si>
    <t>mfluid</t>
  </si>
  <si>
    <t>qNet</t>
  </si>
  <si>
    <r>
      <t>Humidification</t>
    </r>
    <r>
      <rPr>
        <b/>
        <sz val="14"/>
        <rFont val="Arial"/>
        <family val="2"/>
      </rPr>
      <t>*</t>
    </r>
  </si>
  <si>
    <t>TC</t>
  </si>
  <si>
    <t>SC</t>
  </si>
  <si>
    <t>TdbIn</t>
  </si>
  <si>
    <t>TwbIn</t>
  </si>
  <si>
    <t>HRatioIn</t>
  </si>
  <si>
    <t>RelHumIn</t>
  </si>
  <si>
    <t>SpHtIn</t>
  </si>
  <si>
    <t>EnalIn</t>
  </si>
  <si>
    <t>SpVolIn</t>
  </si>
  <si>
    <t>DewPtIn</t>
  </si>
  <si>
    <t>qSenNet</t>
  </si>
  <si>
    <t>SHRNet</t>
  </si>
  <si>
    <t>qTotNet</t>
  </si>
  <si>
    <t>ElevIn</t>
  </si>
  <si>
    <t>AtmPressIn</t>
  </si>
  <si>
    <t>APinHgIn</t>
  </si>
  <si>
    <t>QairIn</t>
  </si>
  <si>
    <t>QSairIn</t>
  </si>
  <si>
    <t>mflowIn</t>
  </si>
  <si>
    <t>Fan Heat</t>
  </si>
  <si>
    <t>Included</t>
  </si>
  <si>
    <t>TotalPress</t>
  </si>
  <si>
    <t>In. of Water</t>
  </si>
  <si>
    <t>FanEff</t>
  </si>
  <si>
    <t>MotorEff</t>
  </si>
  <si>
    <t>BHP</t>
  </si>
  <si>
    <t>hp</t>
  </si>
  <si>
    <t>qFan</t>
  </si>
  <si>
    <t xml:space="preserve">Fan Heat </t>
  </si>
  <si>
    <t>Neglected</t>
  </si>
  <si>
    <t>Inlet Air</t>
  </si>
  <si>
    <t>TdbNet</t>
  </si>
  <si>
    <t>TwbNet</t>
  </si>
  <si>
    <t>HRatioNet</t>
  </si>
  <si>
    <t>RelHumNet</t>
  </si>
  <si>
    <t>SpHtNet</t>
  </si>
  <si>
    <t>EnalNet</t>
  </si>
  <si>
    <t>SpVolNet</t>
  </si>
  <si>
    <t>DewPtNet</t>
  </si>
  <si>
    <t>SHR</t>
  </si>
  <si>
    <t>By-Pass (BP)</t>
  </si>
  <si>
    <t>Method</t>
  </si>
  <si>
    <t>Factor</t>
  </si>
  <si>
    <r>
      <t>lb</t>
    </r>
    <r>
      <rPr>
        <vertAlign val="subscript"/>
        <sz val="10"/>
        <rFont val="Arial"/>
        <family val="2"/>
      </rPr>
      <t>w</t>
    </r>
    <r>
      <rPr>
        <sz val="10"/>
        <rFont val="Arial"/>
        <family val="0"/>
      </rPr>
      <t>/ft</t>
    </r>
    <r>
      <rPr>
        <vertAlign val="superscript"/>
        <sz val="10"/>
        <rFont val="Arial"/>
        <family val="2"/>
      </rPr>
      <t>3</t>
    </r>
  </si>
  <si>
    <t>Total</t>
  </si>
  <si>
    <t>Sensible</t>
  </si>
  <si>
    <t>Tons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</si>
</sst>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s>
  <fonts count="48">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14"/>
      <name val="Arial"/>
      <family val="2"/>
    </font>
    <font>
      <vertAlign val="sub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6"/>
      <name val="Arial"/>
      <family val="2"/>
    </font>
    <font>
      <sz val="12"/>
      <color indexed="8"/>
      <name val="Arial"/>
      <family val="2"/>
    </font>
    <font>
      <b/>
      <sz val="10"/>
      <color indexed="8"/>
      <name val="Arial"/>
      <family val="2"/>
    </font>
    <font>
      <sz val="10"/>
      <color indexed="8"/>
      <name val="Arial"/>
      <family val="2"/>
    </font>
    <font>
      <sz val="8"/>
      <color indexed="8"/>
      <name val="Arial"/>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0" fillId="33" borderId="10" xfId="0" applyFill="1" applyBorder="1" applyAlignment="1">
      <alignment/>
    </xf>
    <xf numFmtId="164" fontId="0" fillId="34" borderId="10" xfId="0" applyNumberFormat="1" applyFill="1" applyBorder="1" applyAlignment="1">
      <alignment/>
    </xf>
    <xf numFmtId="165" fontId="0" fillId="34" borderId="10" xfId="0" applyNumberFormat="1" applyFill="1" applyBorder="1" applyAlignment="1">
      <alignment/>
    </xf>
    <xf numFmtId="166" fontId="0" fillId="34" borderId="10" xfId="0" applyNumberFormat="1"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1" fontId="0" fillId="0" borderId="0" xfId="0" applyNumberFormat="1" applyAlignment="1">
      <alignment/>
    </xf>
    <xf numFmtId="1" fontId="0" fillId="34" borderId="10" xfId="0" applyNumberFormat="1" applyFill="1" applyBorder="1" applyAlignment="1">
      <alignment/>
    </xf>
    <xf numFmtId="0" fontId="3" fillId="0" borderId="0" xfId="0" applyFont="1" applyAlignment="1">
      <alignment horizontal="center"/>
    </xf>
    <xf numFmtId="0" fontId="4" fillId="0" borderId="0" xfId="0" applyFont="1" applyAlignment="1">
      <alignment/>
    </xf>
    <xf numFmtId="0" fontId="3" fillId="0" borderId="0" xfId="0" applyFont="1" applyAlignment="1">
      <alignment/>
    </xf>
    <xf numFmtId="0" fontId="0" fillId="35" borderId="10" xfId="0" applyFill="1" applyBorder="1" applyAlignment="1">
      <alignment/>
    </xf>
    <xf numFmtId="1" fontId="0" fillId="35" borderId="10" xfId="0" applyNumberFormat="1" applyFill="1" applyBorder="1" applyAlignment="1">
      <alignment/>
    </xf>
    <xf numFmtId="0" fontId="3" fillId="0" borderId="0" xfId="0" applyFont="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65" fontId="0" fillId="36" borderId="10" xfId="0" applyNumberFormat="1" applyFill="1" applyBorder="1" applyAlignment="1">
      <alignment/>
    </xf>
    <xf numFmtId="2" fontId="0" fillId="36" borderId="10" xfId="0" applyNumberFormat="1" applyFill="1" applyBorder="1" applyAlignment="1">
      <alignment/>
    </xf>
    <xf numFmtId="165" fontId="0" fillId="0" borderId="0" xfId="0" applyNumberFormat="1" applyAlignment="1">
      <alignment/>
    </xf>
    <xf numFmtId="0" fontId="4" fillId="0" borderId="0" xfId="0" applyFont="1" applyAlignment="1">
      <alignment/>
    </xf>
    <xf numFmtId="1" fontId="0" fillId="37" borderId="10" xfId="0" applyNumberFormat="1" applyFill="1" applyBorder="1" applyAlignment="1">
      <alignment/>
    </xf>
    <xf numFmtId="0" fontId="0" fillId="37" borderId="10" xfId="0" applyFill="1" applyBorder="1" applyAlignment="1">
      <alignment/>
    </xf>
    <xf numFmtId="0" fontId="0" fillId="0" borderId="0" xfId="0" applyBorder="1" applyAlignment="1">
      <alignment/>
    </xf>
    <xf numFmtId="165" fontId="0" fillId="37" borderId="10" xfId="0" applyNumberFormat="1" applyFill="1" applyBorder="1" applyAlignment="1">
      <alignment/>
    </xf>
    <xf numFmtId="0" fontId="0" fillId="0" borderId="10" xfId="0" applyBorder="1" applyAlignment="1">
      <alignment/>
    </xf>
    <xf numFmtId="2" fontId="0" fillId="37" borderId="10" xfId="0" applyNumberFormat="1" applyFill="1" applyBorder="1" applyAlignment="1">
      <alignment/>
    </xf>
    <xf numFmtId="0" fontId="0" fillId="33" borderId="16" xfId="0" applyFill="1" applyBorder="1" applyAlignment="1">
      <alignment/>
    </xf>
    <xf numFmtId="0" fontId="0" fillId="0" borderId="17" xfId="0" applyBorder="1" applyAlignment="1">
      <alignment horizontal="right"/>
    </xf>
    <xf numFmtId="0" fontId="0" fillId="0" borderId="18" xfId="0" applyBorder="1" applyAlignment="1">
      <alignment/>
    </xf>
    <xf numFmtId="165" fontId="0" fillId="0" borderId="10" xfId="0" applyNumberFormat="1" applyBorder="1" applyAlignment="1">
      <alignment/>
    </xf>
    <xf numFmtId="0" fontId="0" fillId="0" borderId="10" xfId="0"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2</xdr:col>
      <xdr:colOff>447675</xdr:colOff>
      <xdr:row>5</xdr:row>
      <xdr:rowOff>66675</xdr:rowOff>
    </xdr:to>
    <xdr:sp>
      <xdr:nvSpPr>
        <xdr:cNvPr id="1" name="Text Box 2"/>
        <xdr:cNvSpPr txBox="1">
          <a:spLocks noChangeArrowheads="1"/>
        </xdr:cNvSpPr>
      </xdr:nvSpPr>
      <xdr:spPr>
        <a:xfrm>
          <a:off x="47625" y="57150"/>
          <a:ext cx="1619250" cy="8191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800000"/>
              </a:solidFill>
              <a:latin typeface="Arial"/>
              <a:ea typeface="Arial"/>
              <a:cs typeface="Arial"/>
            </a:rPr>
            <a:t>Note 1:  In these programs, required input values are in yellow cells.  Output values are in blue or green.</a:t>
          </a:r>
        </a:p>
      </xdr:txBody>
    </xdr:sp>
    <xdr:clientData/>
  </xdr:twoCellAnchor>
  <xdr:twoCellAnchor editAs="oneCell">
    <xdr:from>
      <xdr:col>6</xdr:col>
      <xdr:colOff>619125</xdr:colOff>
      <xdr:row>4</xdr:row>
      <xdr:rowOff>142875</xdr:rowOff>
    </xdr:from>
    <xdr:to>
      <xdr:col>14</xdr:col>
      <xdr:colOff>19050</xdr:colOff>
      <xdr:row>24</xdr:row>
      <xdr:rowOff>133350</xdr:rowOff>
    </xdr:to>
    <xdr:pic>
      <xdr:nvPicPr>
        <xdr:cNvPr id="2" name="Picture 5"/>
        <xdr:cNvPicPr preferRelativeResize="1">
          <a:picLocks noChangeAspect="1"/>
        </xdr:cNvPicPr>
      </xdr:nvPicPr>
      <xdr:blipFill>
        <a:blip r:embed="rId1"/>
        <a:stretch>
          <a:fillRect/>
        </a:stretch>
      </xdr:blipFill>
      <xdr:spPr>
        <a:xfrm>
          <a:off x="3933825" y="790575"/>
          <a:ext cx="4467225" cy="3267075"/>
        </a:xfrm>
        <a:prstGeom prst="rect">
          <a:avLst/>
        </a:prstGeom>
        <a:noFill/>
        <a:ln w="9525" cmpd="sng">
          <a:noFill/>
        </a:ln>
      </xdr:spPr>
    </xdr:pic>
    <xdr:clientData/>
  </xdr:twoCellAnchor>
  <xdr:twoCellAnchor>
    <xdr:from>
      <xdr:col>10</xdr:col>
      <xdr:colOff>504825</xdr:colOff>
      <xdr:row>3</xdr:row>
      <xdr:rowOff>28575</xdr:rowOff>
    </xdr:from>
    <xdr:to>
      <xdr:col>13</xdr:col>
      <xdr:colOff>514350</xdr:colOff>
      <xdr:row>4</xdr:row>
      <xdr:rowOff>123825</xdr:rowOff>
    </xdr:to>
    <xdr:sp>
      <xdr:nvSpPr>
        <xdr:cNvPr id="3" name="Text Box 6"/>
        <xdr:cNvSpPr txBox="1">
          <a:spLocks noChangeArrowheads="1"/>
        </xdr:cNvSpPr>
      </xdr:nvSpPr>
      <xdr:spPr>
        <a:xfrm>
          <a:off x="6448425" y="514350"/>
          <a:ext cx="1838325" cy="2571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Arial"/>
              <a:ea typeface="Arial"/>
              <a:cs typeface="Arial"/>
            </a:rPr>
            <a:t>The Psychrometric Chart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38100</xdr:rowOff>
    </xdr:from>
    <xdr:to>
      <xdr:col>6</xdr:col>
      <xdr:colOff>19050</xdr:colOff>
      <xdr:row>4</xdr:row>
      <xdr:rowOff>76200</xdr:rowOff>
    </xdr:to>
    <xdr:sp>
      <xdr:nvSpPr>
        <xdr:cNvPr id="1" name="Text Box 1"/>
        <xdr:cNvSpPr txBox="1">
          <a:spLocks noChangeArrowheads="1"/>
        </xdr:cNvSpPr>
      </xdr:nvSpPr>
      <xdr:spPr>
        <a:xfrm>
          <a:off x="152400" y="38100"/>
          <a:ext cx="3524250" cy="685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Mixing</a:t>
          </a:r>
          <a:r>
            <a:rPr lang="en-US" cap="none" sz="1000" b="0" i="0" u="none" baseline="0">
              <a:solidFill>
                <a:srgbClr val="000000"/>
              </a:solidFill>
              <a:latin typeface="Arial"/>
              <a:ea typeface="Arial"/>
              <a:cs typeface="Arial"/>
            </a:rPr>
            <a:t> - This Worksheet computes the resulting properties of air (stream 3) when streams 1 and 2 are mixed.  Flow rates are entered below but properties for streams 1 and 2 are entered on the "Properties" Worksheet.</a:t>
          </a:r>
        </a:p>
      </xdr:txBody>
    </xdr:sp>
    <xdr:clientData/>
  </xdr:twoCellAnchor>
  <xdr:twoCellAnchor>
    <xdr:from>
      <xdr:col>7</xdr:col>
      <xdr:colOff>295275</xdr:colOff>
      <xdr:row>4</xdr:row>
      <xdr:rowOff>9525</xdr:rowOff>
    </xdr:from>
    <xdr:to>
      <xdr:col>12</xdr:col>
      <xdr:colOff>228600</xdr:colOff>
      <xdr:row>7</xdr:row>
      <xdr:rowOff>142875</xdr:rowOff>
    </xdr:to>
    <xdr:sp>
      <xdr:nvSpPr>
        <xdr:cNvPr id="2" name="Text Box 2"/>
        <xdr:cNvSpPr txBox="1">
          <a:spLocks noChangeArrowheads="1"/>
        </xdr:cNvSpPr>
      </xdr:nvSpPr>
      <xdr:spPr>
        <a:xfrm>
          <a:off x="4562475" y="657225"/>
          <a:ext cx="2981325" cy="619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Note:  Input values (Qair1 and Qair2) are in cubic feet per minute.  For additional information purposes, these values are corrected to air at standard conditions of ρ=0.075 lb/cu.ft. (QSair1 and QSair2). </a:t>
          </a:r>
        </a:p>
      </xdr:txBody>
    </xdr:sp>
    <xdr:clientData/>
  </xdr:twoCellAnchor>
  <xdr:twoCellAnchor>
    <xdr:from>
      <xdr:col>6</xdr:col>
      <xdr:colOff>390525</xdr:colOff>
      <xdr:row>6</xdr:row>
      <xdr:rowOff>76200</xdr:rowOff>
    </xdr:from>
    <xdr:to>
      <xdr:col>7</xdr:col>
      <xdr:colOff>285750</xdr:colOff>
      <xdr:row>6</xdr:row>
      <xdr:rowOff>76200</xdr:rowOff>
    </xdr:to>
    <xdr:sp>
      <xdr:nvSpPr>
        <xdr:cNvPr id="3" name="Line 3"/>
        <xdr:cNvSpPr>
          <a:spLocks/>
        </xdr:cNvSpPr>
      </xdr:nvSpPr>
      <xdr:spPr>
        <a:xfrm flipH="1">
          <a:off x="4048125" y="10477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13</xdr:row>
      <xdr:rowOff>0</xdr:rowOff>
    </xdr:from>
    <xdr:to>
      <xdr:col>8</xdr:col>
      <xdr:colOff>542925</xdr:colOff>
      <xdr:row>14</xdr:row>
      <xdr:rowOff>66675</xdr:rowOff>
    </xdr:to>
    <xdr:sp>
      <xdr:nvSpPr>
        <xdr:cNvPr id="4" name="Line 4"/>
        <xdr:cNvSpPr>
          <a:spLocks/>
        </xdr:cNvSpPr>
      </xdr:nvSpPr>
      <xdr:spPr>
        <a:xfrm flipV="1">
          <a:off x="5105400" y="2105025"/>
          <a:ext cx="3143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9</xdr:row>
      <xdr:rowOff>76200</xdr:rowOff>
    </xdr:from>
    <xdr:to>
      <xdr:col>8</xdr:col>
      <xdr:colOff>485775</xdr:colOff>
      <xdr:row>10</xdr:row>
      <xdr:rowOff>114300</xdr:rowOff>
    </xdr:to>
    <xdr:sp>
      <xdr:nvSpPr>
        <xdr:cNvPr id="5" name="Line 5"/>
        <xdr:cNvSpPr>
          <a:spLocks/>
        </xdr:cNvSpPr>
      </xdr:nvSpPr>
      <xdr:spPr>
        <a:xfrm>
          <a:off x="5133975" y="1533525"/>
          <a:ext cx="22860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11</xdr:row>
      <xdr:rowOff>123825</xdr:rowOff>
    </xdr:from>
    <xdr:to>
      <xdr:col>10</xdr:col>
      <xdr:colOff>171450</xdr:colOff>
      <xdr:row>11</xdr:row>
      <xdr:rowOff>123825</xdr:rowOff>
    </xdr:to>
    <xdr:sp>
      <xdr:nvSpPr>
        <xdr:cNvPr id="6" name="Line 6"/>
        <xdr:cNvSpPr>
          <a:spLocks/>
        </xdr:cNvSpPr>
      </xdr:nvSpPr>
      <xdr:spPr>
        <a:xfrm>
          <a:off x="5915025" y="190500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523875</xdr:colOff>
      <xdr:row>13</xdr:row>
      <xdr:rowOff>114300</xdr:rowOff>
    </xdr:from>
    <xdr:to>
      <xdr:col>8</xdr:col>
      <xdr:colOff>247650</xdr:colOff>
      <xdr:row>18</xdr:row>
      <xdr:rowOff>28575</xdr:rowOff>
    </xdr:to>
    <xdr:sp>
      <xdr:nvSpPr>
        <xdr:cNvPr id="7" name="Text Box 7"/>
        <xdr:cNvSpPr txBox="1">
          <a:spLocks noChangeArrowheads="1"/>
        </xdr:cNvSpPr>
      </xdr:nvSpPr>
      <xdr:spPr>
        <a:xfrm>
          <a:off x="4181475" y="2219325"/>
          <a:ext cx="942975" cy="7239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Stream 2 @
</a:t>
          </a:r>
          <a:r>
            <a:rPr lang="en-US" cap="none" sz="1000" b="0" i="0" u="none" baseline="0">
              <a:solidFill>
                <a:srgbClr val="000000"/>
              </a:solidFill>
              <a:latin typeface="Arial"/>
              <a:ea typeface="Arial"/>
              <a:cs typeface="Arial"/>
            </a:rPr>
            <a:t>Qair2(cfm), Tdb2(</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F),
</a:t>
          </a:r>
          <a:r>
            <a:rPr lang="en-US" cap="none" sz="1000" b="0" i="0" u="none" baseline="0">
              <a:solidFill>
                <a:srgbClr val="000000"/>
              </a:solidFill>
              <a:latin typeface="Arial"/>
              <a:ea typeface="Arial"/>
              <a:cs typeface="Arial"/>
            </a:rPr>
            <a:t>&amp; Twb2(</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F)   </a:t>
          </a:r>
        </a:p>
      </xdr:txBody>
    </xdr:sp>
    <xdr:clientData/>
  </xdr:twoCellAnchor>
  <xdr:twoCellAnchor>
    <xdr:from>
      <xdr:col>6</xdr:col>
      <xdr:colOff>495300</xdr:colOff>
      <xdr:row>8</xdr:row>
      <xdr:rowOff>114300</xdr:rowOff>
    </xdr:from>
    <xdr:to>
      <xdr:col>8</xdr:col>
      <xdr:colOff>247650</xdr:colOff>
      <xdr:row>13</xdr:row>
      <xdr:rowOff>0</xdr:rowOff>
    </xdr:to>
    <xdr:sp>
      <xdr:nvSpPr>
        <xdr:cNvPr id="8" name="Text Box 8"/>
        <xdr:cNvSpPr txBox="1">
          <a:spLocks noChangeArrowheads="1"/>
        </xdr:cNvSpPr>
      </xdr:nvSpPr>
      <xdr:spPr>
        <a:xfrm>
          <a:off x="4152900" y="1409700"/>
          <a:ext cx="971550" cy="6953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Stream 1 @
</a:t>
          </a:r>
          <a:r>
            <a:rPr lang="en-US" cap="none" sz="1000" b="0" i="0" u="none" baseline="0">
              <a:solidFill>
                <a:srgbClr val="000000"/>
              </a:solidFill>
              <a:latin typeface="Arial"/>
              <a:ea typeface="Arial"/>
              <a:cs typeface="Arial"/>
            </a:rPr>
            <a:t>Qair1(cfm), Tdb1(</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F),
</a:t>
          </a:r>
          <a:r>
            <a:rPr lang="en-US" cap="none" sz="1000" b="0" i="0" u="none" baseline="0">
              <a:solidFill>
                <a:srgbClr val="000000"/>
              </a:solidFill>
              <a:latin typeface="Arial"/>
              <a:ea typeface="Arial"/>
              <a:cs typeface="Arial"/>
            </a:rPr>
            <a:t>&amp; Twb1(</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F)  </a:t>
          </a:r>
        </a:p>
      </xdr:txBody>
    </xdr:sp>
    <xdr:clientData/>
  </xdr:twoCellAnchor>
  <xdr:twoCellAnchor>
    <xdr:from>
      <xdr:col>10</xdr:col>
      <xdr:colOff>171450</xdr:colOff>
      <xdr:row>9</xdr:row>
      <xdr:rowOff>76200</xdr:rowOff>
    </xdr:from>
    <xdr:to>
      <xdr:col>11</xdr:col>
      <xdr:colOff>504825</xdr:colOff>
      <xdr:row>13</xdr:row>
      <xdr:rowOff>152400</xdr:rowOff>
    </xdr:to>
    <xdr:sp>
      <xdr:nvSpPr>
        <xdr:cNvPr id="9" name="Text Box 9"/>
        <xdr:cNvSpPr txBox="1">
          <a:spLocks noChangeArrowheads="1"/>
        </xdr:cNvSpPr>
      </xdr:nvSpPr>
      <xdr:spPr>
        <a:xfrm>
          <a:off x="6267450" y="1533525"/>
          <a:ext cx="942975" cy="7239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Stream 3 @
</a:t>
          </a:r>
          <a:r>
            <a:rPr lang="en-US" cap="none" sz="1000" b="0" i="0" u="none" baseline="0">
              <a:solidFill>
                <a:srgbClr val="000000"/>
              </a:solidFill>
              <a:latin typeface="Arial"/>
              <a:ea typeface="Arial"/>
              <a:cs typeface="Arial"/>
            </a:rPr>
            <a:t>Qair3(cfm), Tdb3(</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F),
</a:t>
          </a:r>
          <a:r>
            <a:rPr lang="en-US" cap="none" sz="1000" b="0" i="0" u="none" baseline="0">
              <a:solidFill>
                <a:srgbClr val="000000"/>
              </a:solidFill>
              <a:latin typeface="Arial"/>
              <a:ea typeface="Arial"/>
              <a:cs typeface="Arial"/>
            </a:rPr>
            <a:t>&amp; Twb3(</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F)  </a:t>
          </a:r>
        </a:p>
      </xdr:txBody>
    </xdr:sp>
    <xdr:clientData/>
  </xdr:twoCellAnchor>
  <xdr:twoCellAnchor>
    <xdr:from>
      <xdr:col>8</xdr:col>
      <xdr:colOff>428625</xdr:colOff>
      <xdr:row>10</xdr:row>
      <xdr:rowOff>47625</xdr:rowOff>
    </xdr:from>
    <xdr:to>
      <xdr:col>9</xdr:col>
      <xdr:colOff>419100</xdr:colOff>
      <xdr:row>13</xdr:row>
      <xdr:rowOff>76200</xdr:rowOff>
    </xdr:to>
    <xdr:sp>
      <xdr:nvSpPr>
        <xdr:cNvPr id="10" name="Freeform 12"/>
        <xdr:cNvSpPr>
          <a:spLocks/>
        </xdr:cNvSpPr>
      </xdr:nvSpPr>
      <xdr:spPr>
        <a:xfrm>
          <a:off x="5305425" y="1666875"/>
          <a:ext cx="600075" cy="514350"/>
        </a:xfrm>
        <a:custGeom>
          <a:pathLst>
            <a:path h="54" w="63">
              <a:moveTo>
                <a:pt x="13" y="0"/>
              </a:moveTo>
              <a:lnTo>
                <a:pt x="0" y="13"/>
              </a:lnTo>
              <a:lnTo>
                <a:pt x="14" y="27"/>
              </a:lnTo>
              <a:lnTo>
                <a:pt x="1" y="40"/>
              </a:lnTo>
              <a:lnTo>
                <a:pt x="17" y="54"/>
              </a:lnTo>
              <a:lnTo>
                <a:pt x="33" y="38"/>
              </a:lnTo>
              <a:lnTo>
                <a:pt x="63" y="38"/>
              </a:lnTo>
              <a:lnTo>
                <a:pt x="63" y="14"/>
              </a:lnTo>
              <a:lnTo>
                <a:pt x="27" y="14"/>
              </a:lnTo>
              <a:lnTo>
                <a:pt x="13"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15</xdr:row>
      <xdr:rowOff>38100</xdr:rowOff>
    </xdr:from>
    <xdr:to>
      <xdr:col>10</xdr:col>
      <xdr:colOff>571500</xdr:colOff>
      <xdr:row>23</xdr:row>
      <xdr:rowOff>104775</xdr:rowOff>
    </xdr:to>
    <xdr:sp>
      <xdr:nvSpPr>
        <xdr:cNvPr id="11" name="Freeform 13"/>
        <xdr:cNvSpPr>
          <a:spLocks/>
        </xdr:cNvSpPr>
      </xdr:nvSpPr>
      <xdr:spPr>
        <a:xfrm>
          <a:off x="4752975" y="2466975"/>
          <a:ext cx="1914525" cy="1362075"/>
        </a:xfrm>
        <a:custGeom>
          <a:pathLst>
            <a:path h="70" w="123">
              <a:moveTo>
                <a:pt x="68" y="2"/>
              </a:moveTo>
              <a:cubicBezTo>
                <a:pt x="68" y="1"/>
                <a:pt x="68" y="1"/>
                <a:pt x="68" y="0"/>
              </a:cubicBezTo>
              <a:lnTo>
                <a:pt x="123" y="0"/>
              </a:lnTo>
              <a:lnTo>
                <a:pt x="123" y="70"/>
              </a:lnTo>
              <a:lnTo>
                <a:pt x="0" y="70"/>
              </a:lnTo>
              <a:lnTo>
                <a:pt x="0" y="53"/>
              </a:lnTo>
              <a:lnTo>
                <a:pt x="23" y="48"/>
              </a:lnTo>
              <a:lnTo>
                <a:pt x="39" y="41"/>
              </a:lnTo>
              <a:lnTo>
                <a:pt x="55" y="28"/>
              </a:lnTo>
              <a:lnTo>
                <a:pt x="64" y="15"/>
              </a:lnTo>
              <a:lnTo>
                <a:pt x="69" y="0"/>
              </a:lnTo>
              <a:lnTo>
                <a:pt x="68" y="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19</xdr:row>
      <xdr:rowOff>95250</xdr:rowOff>
    </xdr:from>
    <xdr:to>
      <xdr:col>9</xdr:col>
      <xdr:colOff>495300</xdr:colOff>
      <xdr:row>19</xdr:row>
      <xdr:rowOff>133350</xdr:rowOff>
    </xdr:to>
    <xdr:sp>
      <xdr:nvSpPr>
        <xdr:cNvPr id="12" name="Oval 14"/>
        <xdr:cNvSpPr>
          <a:spLocks/>
        </xdr:cNvSpPr>
      </xdr:nvSpPr>
      <xdr:spPr>
        <a:xfrm>
          <a:off x="5943600" y="3171825"/>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20</xdr:row>
      <xdr:rowOff>28575</xdr:rowOff>
    </xdr:from>
    <xdr:to>
      <xdr:col>9</xdr:col>
      <xdr:colOff>285750</xdr:colOff>
      <xdr:row>20</xdr:row>
      <xdr:rowOff>66675</xdr:rowOff>
    </xdr:to>
    <xdr:sp>
      <xdr:nvSpPr>
        <xdr:cNvPr id="13" name="Oval 15"/>
        <xdr:cNvSpPr>
          <a:spLocks/>
        </xdr:cNvSpPr>
      </xdr:nvSpPr>
      <xdr:spPr>
        <a:xfrm>
          <a:off x="5734050" y="3267075"/>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476250</xdr:colOff>
      <xdr:row>21</xdr:row>
      <xdr:rowOff>57150</xdr:rowOff>
    </xdr:from>
    <xdr:to>
      <xdr:col>8</xdr:col>
      <xdr:colOff>514350</xdr:colOff>
      <xdr:row>21</xdr:row>
      <xdr:rowOff>95250</xdr:rowOff>
    </xdr:to>
    <xdr:sp>
      <xdr:nvSpPr>
        <xdr:cNvPr id="14" name="Oval 16"/>
        <xdr:cNvSpPr>
          <a:spLocks/>
        </xdr:cNvSpPr>
      </xdr:nvSpPr>
      <xdr:spPr>
        <a:xfrm>
          <a:off x="5353050" y="3457575"/>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20</xdr:row>
      <xdr:rowOff>57150</xdr:rowOff>
    </xdr:from>
    <xdr:to>
      <xdr:col>9</xdr:col>
      <xdr:colOff>257175</xdr:colOff>
      <xdr:row>21</xdr:row>
      <xdr:rowOff>66675</xdr:rowOff>
    </xdr:to>
    <xdr:sp>
      <xdr:nvSpPr>
        <xdr:cNvPr id="15" name="Line 17"/>
        <xdr:cNvSpPr>
          <a:spLocks/>
        </xdr:cNvSpPr>
      </xdr:nvSpPr>
      <xdr:spPr>
        <a:xfrm flipV="1">
          <a:off x="5391150" y="3295650"/>
          <a:ext cx="3524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19</xdr:row>
      <xdr:rowOff>123825</xdr:rowOff>
    </xdr:from>
    <xdr:to>
      <xdr:col>9</xdr:col>
      <xdr:colOff>457200</xdr:colOff>
      <xdr:row>20</xdr:row>
      <xdr:rowOff>47625</xdr:rowOff>
    </xdr:to>
    <xdr:sp>
      <xdr:nvSpPr>
        <xdr:cNvPr id="16" name="Line 18"/>
        <xdr:cNvSpPr>
          <a:spLocks/>
        </xdr:cNvSpPr>
      </xdr:nvSpPr>
      <xdr:spPr>
        <a:xfrm flipH="1">
          <a:off x="5762625" y="3200400"/>
          <a:ext cx="18097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333375</xdr:colOff>
      <xdr:row>21</xdr:row>
      <xdr:rowOff>19050</xdr:rowOff>
    </xdr:from>
    <xdr:ext cx="104775" cy="180975"/>
    <xdr:sp>
      <xdr:nvSpPr>
        <xdr:cNvPr id="17" name="Text Box 19"/>
        <xdr:cNvSpPr txBox="1">
          <a:spLocks noChangeArrowheads="1"/>
        </xdr:cNvSpPr>
      </xdr:nvSpPr>
      <xdr:spPr>
        <a:xfrm>
          <a:off x="5210175" y="3419475"/>
          <a:ext cx="104775"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1</a:t>
          </a:r>
        </a:p>
      </xdr:txBody>
    </xdr:sp>
    <xdr:clientData/>
  </xdr:oneCellAnchor>
  <xdr:oneCellAnchor>
    <xdr:from>
      <xdr:col>9</xdr:col>
      <xdr:colOff>514350</xdr:colOff>
      <xdr:row>19</xdr:row>
      <xdr:rowOff>19050</xdr:rowOff>
    </xdr:from>
    <xdr:ext cx="104775" cy="180975"/>
    <xdr:sp>
      <xdr:nvSpPr>
        <xdr:cNvPr id="18" name="Text Box 20"/>
        <xdr:cNvSpPr txBox="1">
          <a:spLocks noChangeArrowheads="1"/>
        </xdr:cNvSpPr>
      </xdr:nvSpPr>
      <xdr:spPr>
        <a:xfrm>
          <a:off x="6000750" y="3095625"/>
          <a:ext cx="104775"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2</a:t>
          </a:r>
        </a:p>
      </xdr:txBody>
    </xdr:sp>
    <xdr:clientData/>
  </xdr:oneCellAnchor>
  <xdr:oneCellAnchor>
    <xdr:from>
      <xdr:col>9</xdr:col>
      <xdr:colOff>247650</xdr:colOff>
      <xdr:row>20</xdr:row>
      <xdr:rowOff>104775</xdr:rowOff>
    </xdr:from>
    <xdr:ext cx="104775" cy="180975"/>
    <xdr:sp>
      <xdr:nvSpPr>
        <xdr:cNvPr id="19" name="Text Box 21"/>
        <xdr:cNvSpPr txBox="1">
          <a:spLocks noChangeArrowheads="1"/>
        </xdr:cNvSpPr>
      </xdr:nvSpPr>
      <xdr:spPr>
        <a:xfrm>
          <a:off x="5734050" y="3343275"/>
          <a:ext cx="104775"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6</xdr:row>
      <xdr:rowOff>19050</xdr:rowOff>
    </xdr:from>
    <xdr:to>
      <xdr:col>10</xdr:col>
      <xdr:colOff>0</xdr:colOff>
      <xdr:row>9</xdr:row>
      <xdr:rowOff>57150</xdr:rowOff>
    </xdr:to>
    <xdr:sp>
      <xdr:nvSpPr>
        <xdr:cNvPr id="1" name="Text Box 2"/>
        <xdr:cNvSpPr txBox="1">
          <a:spLocks noChangeArrowheads="1"/>
        </xdr:cNvSpPr>
      </xdr:nvSpPr>
      <xdr:spPr>
        <a:xfrm>
          <a:off x="5838825" y="990600"/>
          <a:ext cx="809625" cy="523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HRU</a:t>
          </a:r>
        </a:p>
      </xdr:txBody>
    </xdr:sp>
    <xdr:clientData/>
  </xdr:twoCellAnchor>
  <xdr:twoCellAnchor>
    <xdr:from>
      <xdr:col>7</xdr:col>
      <xdr:colOff>476250</xdr:colOff>
      <xdr:row>6</xdr:row>
      <xdr:rowOff>133350</xdr:rowOff>
    </xdr:from>
    <xdr:to>
      <xdr:col>8</xdr:col>
      <xdr:colOff>400050</xdr:colOff>
      <xdr:row>6</xdr:row>
      <xdr:rowOff>133350</xdr:rowOff>
    </xdr:to>
    <xdr:sp>
      <xdr:nvSpPr>
        <xdr:cNvPr id="2" name="Line 3"/>
        <xdr:cNvSpPr>
          <a:spLocks/>
        </xdr:cNvSpPr>
      </xdr:nvSpPr>
      <xdr:spPr>
        <a:xfrm flipH="1">
          <a:off x="5210175" y="11049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600075</xdr:colOff>
      <xdr:row>6</xdr:row>
      <xdr:rowOff>104775</xdr:rowOff>
    </xdr:from>
    <xdr:to>
      <xdr:col>10</xdr:col>
      <xdr:colOff>590550</xdr:colOff>
      <xdr:row>6</xdr:row>
      <xdr:rowOff>104775</xdr:rowOff>
    </xdr:to>
    <xdr:sp>
      <xdr:nvSpPr>
        <xdr:cNvPr id="3" name="Line 4"/>
        <xdr:cNvSpPr>
          <a:spLocks/>
        </xdr:cNvSpPr>
      </xdr:nvSpPr>
      <xdr:spPr>
        <a:xfrm flipH="1">
          <a:off x="6638925" y="107632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8</xdr:row>
      <xdr:rowOff>95250</xdr:rowOff>
    </xdr:from>
    <xdr:to>
      <xdr:col>8</xdr:col>
      <xdr:colOff>419100</xdr:colOff>
      <xdr:row>8</xdr:row>
      <xdr:rowOff>95250</xdr:rowOff>
    </xdr:to>
    <xdr:sp>
      <xdr:nvSpPr>
        <xdr:cNvPr id="4" name="Line 5"/>
        <xdr:cNvSpPr>
          <a:spLocks/>
        </xdr:cNvSpPr>
      </xdr:nvSpPr>
      <xdr:spPr>
        <a:xfrm>
          <a:off x="5276850" y="13906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38100</xdr:rowOff>
    </xdr:from>
    <xdr:to>
      <xdr:col>10</xdr:col>
      <xdr:colOff>180975</xdr:colOff>
      <xdr:row>8</xdr:row>
      <xdr:rowOff>38100</xdr:rowOff>
    </xdr:to>
    <xdr:sp>
      <xdr:nvSpPr>
        <xdr:cNvPr id="5" name="Line 6"/>
        <xdr:cNvSpPr>
          <a:spLocks/>
        </xdr:cNvSpPr>
      </xdr:nvSpPr>
      <xdr:spPr>
        <a:xfrm>
          <a:off x="6648450" y="13335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5</xdr:row>
      <xdr:rowOff>28575</xdr:rowOff>
    </xdr:from>
    <xdr:to>
      <xdr:col>11</xdr:col>
      <xdr:colOff>85725</xdr:colOff>
      <xdr:row>6</xdr:row>
      <xdr:rowOff>38100</xdr:rowOff>
    </xdr:to>
    <xdr:sp>
      <xdr:nvSpPr>
        <xdr:cNvPr id="6" name="Text Box 7"/>
        <xdr:cNvSpPr txBox="1">
          <a:spLocks noChangeArrowheads="1"/>
        </xdr:cNvSpPr>
      </xdr:nvSpPr>
      <xdr:spPr>
        <a:xfrm>
          <a:off x="6724650" y="838200"/>
          <a:ext cx="619125" cy="171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Room Air</a:t>
          </a:r>
        </a:p>
      </xdr:txBody>
    </xdr:sp>
    <xdr:clientData/>
  </xdr:twoCellAnchor>
  <xdr:twoCellAnchor>
    <xdr:from>
      <xdr:col>7</xdr:col>
      <xdr:colOff>152400</xdr:colOff>
      <xdr:row>8</xdr:row>
      <xdr:rowOff>152400</xdr:rowOff>
    </xdr:from>
    <xdr:to>
      <xdr:col>8</xdr:col>
      <xdr:colOff>304800</xdr:colOff>
      <xdr:row>10</xdr:row>
      <xdr:rowOff>19050</xdr:rowOff>
    </xdr:to>
    <xdr:sp>
      <xdr:nvSpPr>
        <xdr:cNvPr id="7" name="Text Box 9"/>
        <xdr:cNvSpPr txBox="1">
          <a:spLocks noChangeArrowheads="1"/>
        </xdr:cNvSpPr>
      </xdr:nvSpPr>
      <xdr:spPr>
        <a:xfrm>
          <a:off x="4886325" y="1447800"/>
          <a:ext cx="847725" cy="1905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Outdoor Air</a:t>
          </a:r>
        </a:p>
      </xdr:txBody>
    </xdr:sp>
    <xdr:clientData/>
  </xdr:twoCellAnchor>
  <xdr:twoCellAnchor>
    <xdr:from>
      <xdr:col>10</xdr:col>
      <xdr:colOff>228600</xdr:colOff>
      <xdr:row>7</xdr:row>
      <xdr:rowOff>38100</xdr:rowOff>
    </xdr:from>
    <xdr:to>
      <xdr:col>11</xdr:col>
      <xdr:colOff>514350</xdr:colOff>
      <xdr:row>10</xdr:row>
      <xdr:rowOff>57150</xdr:rowOff>
    </xdr:to>
    <xdr:sp>
      <xdr:nvSpPr>
        <xdr:cNvPr id="8" name="Text Box 10"/>
        <xdr:cNvSpPr txBox="1">
          <a:spLocks noChangeArrowheads="1"/>
        </xdr:cNvSpPr>
      </xdr:nvSpPr>
      <xdr:spPr>
        <a:xfrm>
          <a:off x="6877050" y="1171575"/>
          <a:ext cx="895350" cy="5048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HRU Outlet Air to room or HVAC Unit</a:t>
          </a:r>
        </a:p>
      </xdr:txBody>
    </xdr:sp>
    <xdr:clientData/>
  </xdr:twoCellAnchor>
  <xdr:twoCellAnchor>
    <xdr:from>
      <xdr:col>7</xdr:col>
      <xdr:colOff>190500</xdr:colOff>
      <xdr:row>5</xdr:row>
      <xdr:rowOff>19050</xdr:rowOff>
    </xdr:from>
    <xdr:to>
      <xdr:col>8</xdr:col>
      <xdr:colOff>333375</xdr:colOff>
      <xdr:row>6</xdr:row>
      <xdr:rowOff>57150</xdr:rowOff>
    </xdr:to>
    <xdr:sp>
      <xdr:nvSpPr>
        <xdr:cNvPr id="9" name="Text Box 11"/>
        <xdr:cNvSpPr txBox="1">
          <a:spLocks noChangeArrowheads="1"/>
        </xdr:cNvSpPr>
      </xdr:nvSpPr>
      <xdr:spPr>
        <a:xfrm>
          <a:off x="4924425" y="828675"/>
          <a:ext cx="838200" cy="200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Exhaust Air</a:t>
          </a:r>
        </a:p>
      </xdr:txBody>
    </xdr:sp>
    <xdr:clientData/>
  </xdr:twoCellAnchor>
  <xdr:twoCellAnchor>
    <xdr:from>
      <xdr:col>0</xdr:col>
      <xdr:colOff>66675</xdr:colOff>
      <xdr:row>0</xdr:row>
      <xdr:rowOff>104775</xdr:rowOff>
    </xdr:from>
    <xdr:to>
      <xdr:col>11</xdr:col>
      <xdr:colOff>333375</xdr:colOff>
      <xdr:row>3</xdr:row>
      <xdr:rowOff>95250</xdr:rowOff>
    </xdr:to>
    <xdr:sp>
      <xdr:nvSpPr>
        <xdr:cNvPr id="10" name="Text Box 12"/>
        <xdr:cNvSpPr txBox="1">
          <a:spLocks noChangeArrowheads="1"/>
        </xdr:cNvSpPr>
      </xdr:nvSpPr>
      <xdr:spPr>
        <a:xfrm>
          <a:off x="66675" y="104775"/>
          <a:ext cx="7524750" cy="476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Worksheet computes the properties of air leaving  Heat Recovery Units (HRU) used to adsorb or remove heat (and in some units moisture) from room air that is being exhausted. The heat and moisture are transfered to or from the fresh outdoor air make-up air. The capacity of the HRU is also computed.  The effects of the HRU supply fan heat are considered. </a:t>
          </a:r>
        </a:p>
      </xdr:txBody>
    </xdr:sp>
    <xdr:clientData/>
  </xdr:twoCellAnchor>
  <xdr:twoCellAnchor>
    <xdr:from>
      <xdr:col>9</xdr:col>
      <xdr:colOff>381000</xdr:colOff>
      <xdr:row>8</xdr:row>
      <xdr:rowOff>9525</xdr:rowOff>
    </xdr:from>
    <xdr:to>
      <xdr:col>9</xdr:col>
      <xdr:colOff>561975</xdr:colOff>
      <xdr:row>9</xdr:row>
      <xdr:rowOff>28575</xdr:rowOff>
    </xdr:to>
    <xdr:sp>
      <xdr:nvSpPr>
        <xdr:cNvPr id="11" name="AutoShape 14"/>
        <xdr:cNvSpPr>
          <a:spLocks/>
        </xdr:cNvSpPr>
      </xdr:nvSpPr>
      <xdr:spPr>
        <a:xfrm>
          <a:off x="6419850" y="1304925"/>
          <a:ext cx="180975" cy="1809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8</xdr:row>
      <xdr:rowOff>9525</xdr:rowOff>
    </xdr:from>
    <xdr:to>
      <xdr:col>10</xdr:col>
      <xdr:colOff>0</xdr:colOff>
      <xdr:row>8</xdr:row>
      <xdr:rowOff>66675</xdr:rowOff>
    </xdr:to>
    <xdr:sp>
      <xdr:nvSpPr>
        <xdr:cNvPr id="12" name="Freeform 16"/>
        <xdr:cNvSpPr>
          <a:spLocks/>
        </xdr:cNvSpPr>
      </xdr:nvSpPr>
      <xdr:spPr>
        <a:xfrm>
          <a:off x="6515100" y="1304925"/>
          <a:ext cx="133350" cy="57150"/>
        </a:xfrm>
        <a:custGeom>
          <a:pathLst>
            <a:path h="6" w="14">
              <a:moveTo>
                <a:pt x="0" y="0"/>
              </a:moveTo>
              <a:cubicBezTo>
                <a:pt x="5" y="0"/>
                <a:pt x="9" y="0"/>
                <a:pt x="14" y="0"/>
              </a:cubicBezTo>
              <a:lnTo>
                <a:pt x="14" y="6"/>
              </a:lnTo>
              <a:lnTo>
                <a:pt x="9" y="6"/>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6</xdr:row>
      <xdr:rowOff>104775</xdr:rowOff>
    </xdr:from>
    <xdr:to>
      <xdr:col>9</xdr:col>
      <xdr:colOff>19050</xdr:colOff>
      <xdr:row>7</xdr:row>
      <xdr:rowOff>123825</xdr:rowOff>
    </xdr:to>
    <xdr:sp>
      <xdr:nvSpPr>
        <xdr:cNvPr id="13" name="AutoShape 17"/>
        <xdr:cNvSpPr>
          <a:spLocks/>
        </xdr:cNvSpPr>
      </xdr:nvSpPr>
      <xdr:spPr>
        <a:xfrm>
          <a:off x="5876925" y="1076325"/>
          <a:ext cx="180975" cy="1809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5400" y="10800"/>
                <a:pt x="5400" y="13782"/>
                <a:pt x="7818" y="16200"/>
              </a:cubicBezTo>
              <a:cubicBezTo>
                <a:pt x="10800" y="16200"/>
                <a:pt x="13782" y="16200"/>
                <a:pt x="16200" y="13782"/>
              </a:cubicBezTo>
              <a:cubicBezTo>
                <a:pt x="16200" y="10800"/>
                <a:pt x="16200" y="7818"/>
                <a:pt x="13782" y="5400"/>
              </a:cubicBezTo>
              <a:cubicBezTo>
                <a:pt x="10800" y="5400"/>
                <a:pt x="7818" y="5400"/>
                <a:pt x="5400" y="7818"/>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6</xdr:row>
      <xdr:rowOff>104775</xdr:rowOff>
    </xdr:from>
    <xdr:to>
      <xdr:col>8</xdr:col>
      <xdr:colOff>542925</xdr:colOff>
      <xdr:row>7</xdr:row>
      <xdr:rowOff>9525</xdr:rowOff>
    </xdr:to>
    <xdr:sp>
      <xdr:nvSpPr>
        <xdr:cNvPr id="14" name="Freeform 18"/>
        <xdr:cNvSpPr>
          <a:spLocks/>
        </xdr:cNvSpPr>
      </xdr:nvSpPr>
      <xdr:spPr>
        <a:xfrm>
          <a:off x="5838825" y="1076325"/>
          <a:ext cx="133350" cy="66675"/>
        </a:xfrm>
        <a:custGeom>
          <a:pathLst>
            <a:path h="7" w="14">
              <a:moveTo>
                <a:pt x="14" y="0"/>
              </a:moveTo>
              <a:cubicBezTo>
                <a:pt x="9" y="0"/>
                <a:pt x="5" y="0"/>
                <a:pt x="0" y="0"/>
              </a:cubicBezTo>
              <a:lnTo>
                <a:pt x="0" y="7"/>
              </a:lnTo>
              <a:lnTo>
                <a:pt x="5" y="7"/>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15</xdr:row>
      <xdr:rowOff>47625</xdr:rowOff>
    </xdr:from>
    <xdr:to>
      <xdr:col>11</xdr:col>
      <xdr:colOff>542925</xdr:colOff>
      <xdr:row>23</xdr:row>
      <xdr:rowOff>114300</xdr:rowOff>
    </xdr:to>
    <xdr:sp>
      <xdr:nvSpPr>
        <xdr:cNvPr id="15" name="Freeform 20"/>
        <xdr:cNvSpPr>
          <a:spLocks/>
        </xdr:cNvSpPr>
      </xdr:nvSpPr>
      <xdr:spPr>
        <a:xfrm>
          <a:off x="5886450" y="2476500"/>
          <a:ext cx="1914525" cy="1362075"/>
        </a:xfrm>
        <a:custGeom>
          <a:pathLst>
            <a:path h="70" w="123">
              <a:moveTo>
                <a:pt x="68" y="2"/>
              </a:moveTo>
              <a:cubicBezTo>
                <a:pt x="68" y="1"/>
                <a:pt x="68" y="1"/>
                <a:pt x="68" y="0"/>
              </a:cubicBezTo>
              <a:lnTo>
                <a:pt x="123" y="0"/>
              </a:lnTo>
              <a:lnTo>
                <a:pt x="123" y="70"/>
              </a:lnTo>
              <a:lnTo>
                <a:pt x="0" y="70"/>
              </a:lnTo>
              <a:lnTo>
                <a:pt x="0" y="53"/>
              </a:lnTo>
              <a:lnTo>
                <a:pt x="23" y="48"/>
              </a:lnTo>
              <a:lnTo>
                <a:pt x="39" y="41"/>
              </a:lnTo>
              <a:lnTo>
                <a:pt x="55" y="28"/>
              </a:lnTo>
              <a:lnTo>
                <a:pt x="64" y="15"/>
              </a:lnTo>
              <a:lnTo>
                <a:pt x="69" y="0"/>
              </a:lnTo>
              <a:lnTo>
                <a:pt x="68" y="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19</xdr:row>
      <xdr:rowOff>133350</xdr:rowOff>
    </xdr:from>
    <xdr:to>
      <xdr:col>11</xdr:col>
      <xdr:colOff>276225</xdr:colOff>
      <xdr:row>21</xdr:row>
      <xdr:rowOff>9525</xdr:rowOff>
    </xdr:to>
    <xdr:sp>
      <xdr:nvSpPr>
        <xdr:cNvPr id="16" name="Line 23"/>
        <xdr:cNvSpPr>
          <a:spLocks/>
        </xdr:cNvSpPr>
      </xdr:nvSpPr>
      <xdr:spPr>
        <a:xfrm flipH="1">
          <a:off x="7067550" y="3209925"/>
          <a:ext cx="4667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266700</xdr:colOff>
      <xdr:row>19</xdr:row>
      <xdr:rowOff>104775</xdr:rowOff>
    </xdr:from>
    <xdr:to>
      <xdr:col>11</xdr:col>
      <xdr:colOff>304800</xdr:colOff>
      <xdr:row>19</xdr:row>
      <xdr:rowOff>142875</xdr:rowOff>
    </xdr:to>
    <xdr:sp>
      <xdr:nvSpPr>
        <xdr:cNvPr id="17" name="Oval 24"/>
        <xdr:cNvSpPr>
          <a:spLocks/>
        </xdr:cNvSpPr>
      </xdr:nvSpPr>
      <xdr:spPr>
        <a:xfrm>
          <a:off x="7524750" y="318135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20</xdr:row>
      <xdr:rowOff>152400</xdr:rowOff>
    </xdr:from>
    <xdr:to>
      <xdr:col>10</xdr:col>
      <xdr:colOff>419100</xdr:colOff>
      <xdr:row>21</xdr:row>
      <xdr:rowOff>28575</xdr:rowOff>
    </xdr:to>
    <xdr:sp>
      <xdr:nvSpPr>
        <xdr:cNvPr id="18" name="Oval 27"/>
        <xdr:cNvSpPr>
          <a:spLocks/>
        </xdr:cNvSpPr>
      </xdr:nvSpPr>
      <xdr:spPr>
        <a:xfrm>
          <a:off x="7029450" y="339090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21</xdr:row>
      <xdr:rowOff>38100</xdr:rowOff>
    </xdr:from>
    <xdr:to>
      <xdr:col>10</xdr:col>
      <xdr:colOff>295275</xdr:colOff>
      <xdr:row>21</xdr:row>
      <xdr:rowOff>76200</xdr:rowOff>
    </xdr:to>
    <xdr:sp>
      <xdr:nvSpPr>
        <xdr:cNvPr id="19" name="Oval 28"/>
        <xdr:cNvSpPr>
          <a:spLocks/>
        </xdr:cNvSpPr>
      </xdr:nvSpPr>
      <xdr:spPr>
        <a:xfrm>
          <a:off x="6905625" y="3438525"/>
          <a:ext cx="38100" cy="38100"/>
        </a:xfrm>
        <a:prstGeom prst="ellipse">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a:t>
          </a:r>
        </a:p>
      </xdr:txBody>
    </xdr:sp>
    <xdr:clientData/>
  </xdr:twoCellAnchor>
  <xdr:oneCellAnchor>
    <xdr:from>
      <xdr:col>11</xdr:col>
      <xdr:colOff>257175</xdr:colOff>
      <xdr:row>18</xdr:row>
      <xdr:rowOff>114300</xdr:rowOff>
    </xdr:from>
    <xdr:ext cx="171450" cy="171450"/>
    <xdr:sp>
      <xdr:nvSpPr>
        <xdr:cNvPr id="20" name="Text Box 31"/>
        <xdr:cNvSpPr txBox="1">
          <a:spLocks noChangeArrowheads="1"/>
        </xdr:cNvSpPr>
      </xdr:nvSpPr>
      <xdr:spPr>
        <a:xfrm>
          <a:off x="7515225" y="3028950"/>
          <a:ext cx="171450" cy="171450"/>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t(o)</a:t>
          </a:r>
        </a:p>
      </xdr:txBody>
    </xdr:sp>
    <xdr:clientData/>
  </xdr:oneCellAnchor>
  <xdr:oneCellAnchor>
    <xdr:from>
      <xdr:col>10</xdr:col>
      <xdr:colOff>152400</xdr:colOff>
      <xdr:row>20</xdr:row>
      <xdr:rowOff>19050</xdr:rowOff>
    </xdr:from>
    <xdr:ext cx="161925" cy="161925"/>
    <xdr:sp>
      <xdr:nvSpPr>
        <xdr:cNvPr id="21" name="Text Box 32"/>
        <xdr:cNvSpPr txBox="1">
          <a:spLocks noChangeArrowheads="1"/>
        </xdr:cNvSpPr>
      </xdr:nvSpPr>
      <xdr:spPr>
        <a:xfrm>
          <a:off x="6800850" y="3257550"/>
          <a:ext cx="1619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t(r)</a:t>
          </a:r>
        </a:p>
      </xdr:txBody>
    </xdr:sp>
    <xdr:clientData/>
  </xdr:oneCellAnchor>
  <xdr:oneCellAnchor>
    <xdr:from>
      <xdr:col>10</xdr:col>
      <xdr:colOff>66675</xdr:colOff>
      <xdr:row>21</xdr:row>
      <xdr:rowOff>123825</xdr:rowOff>
    </xdr:from>
    <xdr:ext cx="276225" cy="171450"/>
    <xdr:sp>
      <xdr:nvSpPr>
        <xdr:cNvPr id="22" name="Text Box 33"/>
        <xdr:cNvSpPr txBox="1">
          <a:spLocks noChangeArrowheads="1"/>
        </xdr:cNvSpPr>
      </xdr:nvSpPr>
      <xdr:spPr>
        <a:xfrm>
          <a:off x="6715125" y="3524250"/>
          <a:ext cx="276225" cy="171450"/>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t(hru)</a:t>
          </a:r>
        </a:p>
      </xdr:txBody>
    </xdr:sp>
    <xdr:clientData/>
  </xdr:oneCellAnchor>
  <xdr:twoCellAnchor>
    <xdr:from>
      <xdr:col>9</xdr:col>
      <xdr:colOff>285750</xdr:colOff>
      <xdr:row>21</xdr:row>
      <xdr:rowOff>85725</xdr:rowOff>
    </xdr:from>
    <xdr:to>
      <xdr:col>10</xdr:col>
      <xdr:colOff>161925</xdr:colOff>
      <xdr:row>22</xdr:row>
      <xdr:rowOff>76200</xdr:rowOff>
    </xdr:to>
    <xdr:sp>
      <xdr:nvSpPr>
        <xdr:cNvPr id="23" name="Line 34"/>
        <xdr:cNvSpPr>
          <a:spLocks/>
        </xdr:cNvSpPr>
      </xdr:nvSpPr>
      <xdr:spPr>
        <a:xfrm flipV="1">
          <a:off x="6324600" y="3486150"/>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9525</xdr:colOff>
      <xdr:row>20</xdr:row>
      <xdr:rowOff>95250</xdr:rowOff>
    </xdr:from>
    <xdr:ext cx="514350" cy="180975"/>
    <xdr:sp>
      <xdr:nvSpPr>
        <xdr:cNvPr id="24" name="Text Box 35"/>
        <xdr:cNvSpPr txBox="1">
          <a:spLocks noChangeArrowheads="1"/>
        </xdr:cNvSpPr>
      </xdr:nvSpPr>
      <xdr:spPr>
        <a:xfrm>
          <a:off x="7267575" y="3333750"/>
          <a:ext cx="514350"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Summer</a:t>
          </a:r>
        </a:p>
      </xdr:txBody>
    </xdr:sp>
    <xdr:clientData/>
  </xdr:oneCellAnchor>
  <xdr:twoCellAnchor>
    <xdr:from>
      <xdr:col>10</xdr:col>
      <xdr:colOff>142875</xdr:colOff>
      <xdr:row>21</xdr:row>
      <xdr:rowOff>66675</xdr:rowOff>
    </xdr:from>
    <xdr:to>
      <xdr:col>10</xdr:col>
      <xdr:colOff>180975</xdr:colOff>
      <xdr:row>21</xdr:row>
      <xdr:rowOff>104775</xdr:rowOff>
    </xdr:to>
    <xdr:sp>
      <xdr:nvSpPr>
        <xdr:cNvPr id="25" name="Oval 36"/>
        <xdr:cNvSpPr>
          <a:spLocks/>
        </xdr:cNvSpPr>
      </xdr:nvSpPr>
      <xdr:spPr>
        <a:xfrm>
          <a:off x="6791325" y="3467100"/>
          <a:ext cx="38100" cy="38100"/>
        </a:xfrm>
        <a:prstGeom prst="ellipse">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a:t>
          </a:r>
        </a:p>
      </xdr:txBody>
    </xdr:sp>
    <xdr:clientData/>
  </xdr:twoCellAnchor>
  <xdr:twoCellAnchor>
    <xdr:from>
      <xdr:col>9</xdr:col>
      <xdr:colOff>247650</xdr:colOff>
      <xdr:row>22</xdr:row>
      <xdr:rowOff>66675</xdr:rowOff>
    </xdr:from>
    <xdr:to>
      <xdr:col>9</xdr:col>
      <xdr:colOff>285750</xdr:colOff>
      <xdr:row>22</xdr:row>
      <xdr:rowOff>104775</xdr:rowOff>
    </xdr:to>
    <xdr:sp>
      <xdr:nvSpPr>
        <xdr:cNvPr id="26" name="Oval 37"/>
        <xdr:cNvSpPr>
          <a:spLocks/>
        </xdr:cNvSpPr>
      </xdr:nvSpPr>
      <xdr:spPr>
        <a:xfrm>
          <a:off x="6286500" y="3629025"/>
          <a:ext cx="38100" cy="38100"/>
        </a:xfrm>
        <a:prstGeom prst="ellipse">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a:t>
          </a:r>
        </a:p>
      </xdr:txBody>
    </xdr:sp>
    <xdr:clientData/>
  </xdr:twoCellAnchor>
  <xdr:oneCellAnchor>
    <xdr:from>
      <xdr:col>9</xdr:col>
      <xdr:colOff>285750</xdr:colOff>
      <xdr:row>22</xdr:row>
      <xdr:rowOff>95250</xdr:rowOff>
    </xdr:from>
    <xdr:ext cx="400050" cy="180975"/>
    <xdr:sp>
      <xdr:nvSpPr>
        <xdr:cNvPr id="27" name="Text Box 38"/>
        <xdr:cNvSpPr txBox="1">
          <a:spLocks noChangeArrowheads="1"/>
        </xdr:cNvSpPr>
      </xdr:nvSpPr>
      <xdr:spPr>
        <a:xfrm>
          <a:off x="6324600" y="3657600"/>
          <a:ext cx="400050"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Winter</a:t>
          </a:r>
        </a:p>
      </xdr:txBody>
    </xdr:sp>
    <xdr:clientData/>
  </xdr:oneCellAnchor>
  <xdr:oneCellAnchor>
    <xdr:from>
      <xdr:col>10</xdr:col>
      <xdr:colOff>381000</xdr:colOff>
      <xdr:row>21</xdr:row>
      <xdr:rowOff>38100</xdr:rowOff>
    </xdr:from>
    <xdr:ext cx="276225" cy="161925"/>
    <xdr:sp>
      <xdr:nvSpPr>
        <xdr:cNvPr id="28" name="Text Box 39"/>
        <xdr:cNvSpPr txBox="1">
          <a:spLocks noChangeArrowheads="1"/>
        </xdr:cNvSpPr>
      </xdr:nvSpPr>
      <xdr:spPr>
        <a:xfrm>
          <a:off x="7029450" y="3438525"/>
          <a:ext cx="2762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t(hru)</a:t>
          </a:r>
        </a:p>
      </xdr:txBody>
    </xdr:sp>
    <xdr:clientData/>
  </xdr:oneCellAnchor>
  <xdr:oneCellAnchor>
    <xdr:from>
      <xdr:col>9</xdr:col>
      <xdr:colOff>9525</xdr:colOff>
      <xdr:row>22</xdr:row>
      <xdr:rowOff>9525</xdr:rowOff>
    </xdr:from>
    <xdr:ext cx="180975" cy="161925"/>
    <xdr:sp>
      <xdr:nvSpPr>
        <xdr:cNvPr id="29" name="Text Box 40"/>
        <xdr:cNvSpPr txBox="1">
          <a:spLocks noChangeArrowheads="1"/>
        </xdr:cNvSpPr>
      </xdr:nvSpPr>
      <xdr:spPr>
        <a:xfrm>
          <a:off x="6048375" y="3571875"/>
          <a:ext cx="18097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447675</xdr:colOff>
      <xdr:row>4</xdr:row>
      <xdr:rowOff>0</xdr:rowOff>
    </xdr:from>
    <xdr:ext cx="76200" cy="190500"/>
    <xdr:sp fLocksText="0">
      <xdr:nvSpPr>
        <xdr:cNvPr id="1" name="Text Box 1"/>
        <xdr:cNvSpPr txBox="1">
          <a:spLocks noChangeArrowheads="1"/>
        </xdr:cNvSpPr>
      </xdr:nvSpPr>
      <xdr:spPr>
        <a:xfrm>
          <a:off x="1885950" y="666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4</xdr:col>
      <xdr:colOff>104775</xdr:colOff>
      <xdr:row>16</xdr:row>
      <xdr:rowOff>142875</xdr:rowOff>
    </xdr:from>
    <xdr:to>
      <xdr:col>6</xdr:col>
      <xdr:colOff>400050</xdr:colOff>
      <xdr:row>25</xdr:row>
      <xdr:rowOff>47625</xdr:rowOff>
    </xdr:to>
    <xdr:sp>
      <xdr:nvSpPr>
        <xdr:cNvPr id="2" name="Freeform 7"/>
        <xdr:cNvSpPr>
          <a:spLocks/>
        </xdr:cNvSpPr>
      </xdr:nvSpPr>
      <xdr:spPr>
        <a:xfrm>
          <a:off x="2762250" y="2752725"/>
          <a:ext cx="1914525" cy="1362075"/>
        </a:xfrm>
        <a:custGeom>
          <a:pathLst>
            <a:path h="70" w="123">
              <a:moveTo>
                <a:pt x="68" y="2"/>
              </a:moveTo>
              <a:cubicBezTo>
                <a:pt x="68" y="1"/>
                <a:pt x="68" y="1"/>
                <a:pt x="68" y="0"/>
              </a:cubicBezTo>
              <a:lnTo>
                <a:pt x="123" y="0"/>
              </a:lnTo>
              <a:lnTo>
                <a:pt x="123" y="70"/>
              </a:lnTo>
              <a:lnTo>
                <a:pt x="0" y="70"/>
              </a:lnTo>
              <a:lnTo>
                <a:pt x="0" y="53"/>
              </a:lnTo>
              <a:lnTo>
                <a:pt x="23" y="48"/>
              </a:lnTo>
              <a:lnTo>
                <a:pt x="39" y="41"/>
              </a:lnTo>
              <a:lnTo>
                <a:pt x="55" y="28"/>
              </a:lnTo>
              <a:lnTo>
                <a:pt x="64" y="15"/>
              </a:lnTo>
              <a:lnTo>
                <a:pt x="69" y="0"/>
              </a:lnTo>
              <a:lnTo>
                <a:pt x="68" y="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23</xdr:row>
      <xdr:rowOff>19050</xdr:rowOff>
    </xdr:from>
    <xdr:to>
      <xdr:col>5</xdr:col>
      <xdr:colOff>152400</xdr:colOff>
      <xdr:row>23</xdr:row>
      <xdr:rowOff>57150</xdr:rowOff>
    </xdr:to>
    <xdr:sp>
      <xdr:nvSpPr>
        <xdr:cNvPr id="3" name="Oval 8"/>
        <xdr:cNvSpPr>
          <a:spLocks/>
        </xdr:cNvSpPr>
      </xdr:nvSpPr>
      <xdr:spPr>
        <a:xfrm>
          <a:off x="3533775" y="3762375"/>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23</xdr:row>
      <xdr:rowOff>19050</xdr:rowOff>
    </xdr:from>
    <xdr:to>
      <xdr:col>6</xdr:col>
      <xdr:colOff>95250</xdr:colOff>
      <xdr:row>23</xdr:row>
      <xdr:rowOff>57150</xdr:rowOff>
    </xdr:to>
    <xdr:sp>
      <xdr:nvSpPr>
        <xdr:cNvPr id="4" name="Oval 9"/>
        <xdr:cNvSpPr>
          <a:spLocks/>
        </xdr:cNvSpPr>
      </xdr:nvSpPr>
      <xdr:spPr>
        <a:xfrm>
          <a:off x="4333875" y="3762375"/>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23</xdr:row>
      <xdr:rowOff>38100</xdr:rowOff>
    </xdr:from>
    <xdr:to>
      <xdr:col>6</xdr:col>
      <xdr:colOff>57150</xdr:colOff>
      <xdr:row>23</xdr:row>
      <xdr:rowOff>38100</xdr:rowOff>
    </xdr:to>
    <xdr:sp>
      <xdr:nvSpPr>
        <xdr:cNvPr id="5" name="Line 10"/>
        <xdr:cNvSpPr>
          <a:spLocks/>
        </xdr:cNvSpPr>
      </xdr:nvSpPr>
      <xdr:spPr>
        <a:xfrm>
          <a:off x="3571875" y="378142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600075</xdr:colOff>
      <xdr:row>23</xdr:row>
      <xdr:rowOff>9525</xdr:rowOff>
    </xdr:from>
    <xdr:ext cx="257175" cy="200025"/>
    <xdr:sp>
      <xdr:nvSpPr>
        <xdr:cNvPr id="6" name="Text Box 11"/>
        <xdr:cNvSpPr txBox="1">
          <a:spLocks noChangeArrowheads="1"/>
        </xdr:cNvSpPr>
      </xdr:nvSpPr>
      <xdr:spPr>
        <a:xfrm>
          <a:off x="3257550" y="3752850"/>
          <a:ext cx="257175" cy="2000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t(in)</a:t>
          </a:r>
        </a:p>
      </xdr:txBody>
    </xdr:sp>
    <xdr:clientData/>
  </xdr:oneCellAnchor>
  <xdr:twoCellAnchor>
    <xdr:from>
      <xdr:col>9</xdr:col>
      <xdr:colOff>171450</xdr:colOff>
      <xdr:row>16</xdr:row>
      <xdr:rowOff>142875</xdr:rowOff>
    </xdr:from>
    <xdr:to>
      <xdr:col>12</xdr:col>
      <xdr:colOff>209550</xdr:colOff>
      <xdr:row>25</xdr:row>
      <xdr:rowOff>47625</xdr:rowOff>
    </xdr:to>
    <xdr:sp>
      <xdr:nvSpPr>
        <xdr:cNvPr id="7" name="Freeform 13"/>
        <xdr:cNvSpPr>
          <a:spLocks/>
        </xdr:cNvSpPr>
      </xdr:nvSpPr>
      <xdr:spPr>
        <a:xfrm>
          <a:off x="6343650" y="2752725"/>
          <a:ext cx="1914525" cy="1362075"/>
        </a:xfrm>
        <a:custGeom>
          <a:pathLst>
            <a:path h="70" w="123">
              <a:moveTo>
                <a:pt x="68" y="2"/>
              </a:moveTo>
              <a:cubicBezTo>
                <a:pt x="68" y="1"/>
                <a:pt x="68" y="1"/>
                <a:pt x="68" y="0"/>
              </a:cubicBezTo>
              <a:lnTo>
                <a:pt x="123" y="0"/>
              </a:lnTo>
              <a:lnTo>
                <a:pt x="123" y="70"/>
              </a:lnTo>
              <a:lnTo>
                <a:pt x="0" y="70"/>
              </a:lnTo>
              <a:lnTo>
                <a:pt x="0" y="53"/>
              </a:lnTo>
              <a:lnTo>
                <a:pt x="23" y="48"/>
              </a:lnTo>
              <a:lnTo>
                <a:pt x="39" y="41"/>
              </a:lnTo>
              <a:lnTo>
                <a:pt x="55" y="28"/>
              </a:lnTo>
              <a:lnTo>
                <a:pt x="64" y="15"/>
              </a:lnTo>
              <a:lnTo>
                <a:pt x="69" y="0"/>
              </a:lnTo>
              <a:lnTo>
                <a:pt x="68" y="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23</xdr:row>
      <xdr:rowOff>9525</xdr:rowOff>
    </xdr:from>
    <xdr:to>
      <xdr:col>10</xdr:col>
      <xdr:colOff>323850</xdr:colOff>
      <xdr:row>23</xdr:row>
      <xdr:rowOff>47625</xdr:rowOff>
    </xdr:to>
    <xdr:sp>
      <xdr:nvSpPr>
        <xdr:cNvPr id="8" name="Oval 14"/>
        <xdr:cNvSpPr>
          <a:spLocks/>
        </xdr:cNvSpPr>
      </xdr:nvSpPr>
      <xdr:spPr>
        <a:xfrm>
          <a:off x="7067550" y="375285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23</xdr:row>
      <xdr:rowOff>28575</xdr:rowOff>
    </xdr:from>
    <xdr:to>
      <xdr:col>11</xdr:col>
      <xdr:colOff>428625</xdr:colOff>
      <xdr:row>23</xdr:row>
      <xdr:rowOff>28575</xdr:rowOff>
    </xdr:to>
    <xdr:sp>
      <xdr:nvSpPr>
        <xdr:cNvPr id="9" name="Line 16"/>
        <xdr:cNvSpPr>
          <a:spLocks/>
        </xdr:cNvSpPr>
      </xdr:nvSpPr>
      <xdr:spPr>
        <a:xfrm>
          <a:off x="7105650" y="3771900"/>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23</xdr:row>
      <xdr:rowOff>9525</xdr:rowOff>
    </xdr:from>
    <xdr:to>
      <xdr:col>11</xdr:col>
      <xdr:colOff>466725</xdr:colOff>
      <xdr:row>23</xdr:row>
      <xdr:rowOff>47625</xdr:rowOff>
    </xdr:to>
    <xdr:sp>
      <xdr:nvSpPr>
        <xdr:cNvPr id="10" name="Oval 18"/>
        <xdr:cNvSpPr>
          <a:spLocks/>
        </xdr:cNvSpPr>
      </xdr:nvSpPr>
      <xdr:spPr>
        <a:xfrm>
          <a:off x="7867650" y="375285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21</xdr:row>
      <xdr:rowOff>133350</xdr:rowOff>
    </xdr:from>
    <xdr:to>
      <xdr:col>11</xdr:col>
      <xdr:colOff>542925</xdr:colOff>
      <xdr:row>22</xdr:row>
      <xdr:rowOff>9525</xdr:rowOff>
    </xdr:to>
    <xdr:sp>
      <xdr:nvSpPr>
        <xdr:cNvPr id="11" name="Oval 19"/>
        <xdr:cNvSpPr>
          <a:spLocks/>
        </xdr:cNvSpPr>
      </xdr:nvSpPr>
      <xdr:spPr>
        <a:xfrm>
          <a:off x="7943850" y="3552825"/>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21</xdr:row>
      <xdr:rowOff>142875</xdr:rowOff>
    </xdr:from>
    <xdr:to>
      <xdr:col>11</xdr:col>
      <xdr:colOff>219075</xdr:colOff>
      <xdr:row>22</xdr:row>
      <xdr:rowOff>19050</xdr:rowOff>
    </xdr:to>
    <xdr:sp>
      <xdr:nvSpPr>
        <xdr:cNvPr id="12" name="Oval 20"/>
        <xdr:cNvSpPr>
          <a:spLocks/>
        </xdr:cNvSpPr>
      </xdr:nvSpPr>
      <xdr:spPr>
        <a:xfrm>
          <a:off x="7620000" y="356235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22</xdr:row>
      <xdr:rowOff>9525</xdr:rowOff>
    </xdr:from>
    <xdr:to>
      <xdr:col>11</xdr:col>
      <xdr:colOff>419100</xdr:colOff>
      <xdr:row>23</xdr:row>
      <xdr:rowOff>19050</xdr:rowOff>
    </xdr:to>
    <xdr:sp>
      <xdr:nvSpPr>
        <xdr:cNvPr id="13" name="Line 21"/>
        <xdr:cNvSpPr>
          <a:spLocks/>
        </xdr:cNvSpPr>
      </xdr:nvSpPr>
      <xdr:spPr>
        <a:xfrm flipH="1" flipV="1">
          <a:off x="7648575" y="3590925"/>
          <a:ext cx="2095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22</xdr:row>
      <xdr:rowOff>9525</xdr:rowOff>
    </xdr:from>
    <xdr:to>
      <xdr:col>11</xdr:col>
      <xdr:colOff>523875</xdr:colOff>
      <xdr:row>23</xdr:row>
      <xdr:rowOff>19050</xdr:rowOff>
    </xdr:to>
    <xdr:sp>
      <xdr:nvSpPr>
        <xdr:cNvPr id="14" name="Line 22"/>
        <xdr:cNvSpPr>
          <a:spLocks/>
        </xdr:cNvSpPr>
      </xdr:nvSpPr>
      <xdr:spPr>
        <a:xfrm flipV="1">
          <a:off x="7905750" y="3590925"/>
          <a:ext cx="571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523875</xdr:colOff>
      <xdr:row>21</xdr:row>
      <xdr:rowOff>104775</xdr:rowOff>
    </xdr:from>
    <xdr:ext cx="323850" cy="161925"/>
    <xdr:sp>
      <xdr:nvSpPr>
        <xdr:cNvPr id="15" name="Text Box 23"/>
        <xdr:cNvSpPr txBox="1">
          <a:spLocks noChangeArrowheads="1"/>
        </xdr:cNvSpPr>
      </xdr:nvSpPr>
      <xdr:spPr>
        <a:xfrm>
          <a:off x="7305675" y="3524250"/>
          <a:ext cx="3238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Water</a:t>
          </a:r>
        </a:p>
      </xdr:txBody>
    </xdr:sp>
    <xdr:clientData/>
  </xdr:oneCellAnchor>
  <xdr:oneCellAnchor>
    <xdr:from>
      <xdr:col>11</xdr:col>
      <xdr:colOff>447675</xdr:colOff>
      <xdr:row>20</xdr:row>
      <xdr:rowOff>152400</xdr:rowOff>
    </xdr:from>
    <xdr:ext cx="314325" cy="142875"/>
    <xdr:sp>
      <xdr:nvSpPr>
        <xdr:cNvPr id="16" name="Text Box 24"/>
        <xdr:cNvSpPr txBox="1">
          <a:spLocks noChangeArrowheads="1"/>
        </xdr:cNvSpPr>
      </xdr:nvSpPr>
      <xdr:spPr>
        <a:xfrm>
          <a:off x="7886700" y="3409950"/>
          <a:ext cx="314325" cy="14287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Steam</a:t>
          </a:r>
        </a:p>
      </xdr:txBody>
    </xdr:sp>
    <xdr:clientData/>
  </xdr:oneCellAnchor>
  <xdr:oneCellAnchor>
    <xdr:from>
      <xdr:col>5</xdr:col>
      <xdr:colOff>771525</xdr:colOff>
      <xdr:row>23</xdr:row>
      <xdr:rowOff>47625</xdr:rowOff>
    </xdr:from>
    <xdr:ext cx="342900" cy="190500"/>
    <xdr:sp>
      <xdr:nvSpPr>
        <xdr:cNvPr id="17" name="Text Box 29"/>
        <xdr:cNvSpPr txBox="1">
          <a:spLocks noChangeArrowheads="1"/>
        </xdr:cNvSpPr>
      </xdr:nvSpPr>
      <xdr:spPr>
        <a:xfrm>
          <a:off x="4191000" y="3790950"/>
          <a:ext cx="342900" cy="19050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t(out)</a:t>
          </a:r>
        </a:p>
      </xdr:txBody>
    </xdr:sp>
    <xdr:clientData/>
  </xdr:oneCellAnchor>
  <xdr:oneCellAnchor>
    <xdr:from>
      <xdr:col>9</xdr:col>
      <xdr:colOff>533400</xdr:colOff>
      <xdr:row>22</xdr:row>
      <xdr:rowOff>85725</xdr:rowOff>
    </xdr:from>
    <xdr:ext cx="323850" cy="219075"/>
    <xdr:sp>
      <xdr:nvSpPr>
        <xdr:cNvPr id="18" name="Text Box 30"/>
        <xdr:cNvSpPr txBox="1">
          <a:spLocks noChangeArrowheads="1"/>
        </xdr:cNvSpPr>
      </xdr:nvSpPr>
      <xdr:spPr>
        <a:xfrm>
          <a:off x="6705600" y="3667125"/>
          <a:ext cx="323850" cy="21907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t(in)</a:t>
          </a:r>
        </a:p>
      </xdr:txBody>
    </xdr:sp>
    <xdr:clientData/>
  </xdr:oneCellAnchor>
  <xdr:oneCellAnchor>
    <xdr:from>
      <xdr:col>11</xdr:col>
      <xdr:colOff>66675</xdr:colOff>
      <xdr:row>20</xdr:row>
      <xdr:rowOff>123825</xdr:rowOff>
    </xdr:from>
    <xdr:ext cx="333375" cy="171450"/>
    <xdr:sp>
      <xdr:nvSpPr>
        <xdr:cNvPr id="19" name="Text Box 31"/>
        <xdr:cNvSpPr txBox="1">
          <a:spLocks noChangeArrowheads="1"/>
        </xdr:cNvSpPr>
      </xdr:nvSpPr>
      <xdr:spPr>
        <a:xfrm>
          <a:off x="7505700" y="3381375"/>
          <a:ext cx="333375"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t(out)</a:t>
          </a:r>
        </a:p>
      </xdr:txBody>
    </xdr:sp>
    <xdr:clientData/>
  </xdr:oneCellAnchor>
  <xdr:twoCellAnchor>
    <xdr:from>
      <xdr:col>10</xdr:col>
      <xdr:colOff>619125</xdr:colOff>
      <xdr:row>6</xdr:row>
      <xdr:rowOff>47625</xdr:rowOff>
    </xdr:from>
    <xdr:to>
      <xdr:col>13</xdr:col>
      <xdr:colOff>161925</xdr:colOff>
      <xdr:row>15</xdr:row>
      <xdr:rowOff>0</xdr:rowOff>
    </xdr:to>
    <xdr:sp>
      <xdr:nvSpPr>
        <xdr:cNvPr id="20" name="Text Box 33"/>
        <xdr:cNvSpPr txBox="1">
          <a:spLocks noChangeArrowheads="1"/>
        </xdr:cNvSpPr>
      </xdr:nvSpPr>
      <xdr:spPr>
        <a:xfrm>
          <a:off x="7400925" y="1038225"/>
          <a:ext cx="1419225" cy="1409700"/>
        </a:xfrm>
        <a:prstGeom prst="rect">
          <a:avLst/>
        </a:prstGeom>
        <a:solidFill>
          <a:srgbClr val="FFFFFF"/>
        </a:solidFill>
        <a:ln w="9525" cmpd="sng">
          <a:solidFill>
            <a:srgbClr val="000000"/>
          </a:solidFill>
          <a:headEnd type="none"/>
          <a:tailEnd type="none"/>
        </a:ln>
      </xdr:spPr>
      <xdr:txBody>
        <a:bodyPr vertOverflow="clip" wrap="square" lIns="45720" tIns="32004" rIns="0" bIns="0"/>
        <a:p>
          <a:pPr algn="l">
            <a:defRPr/>
          </a:pPr>
          <a:r>
            <a:rPr lang="en-US" cap="none" sz="14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Assumption:
</a:t>
          </a:r>
          <a:r>
            <a:rPr lang="en-US" cap="none" sz="1000" b="0" i="0" u="none" baseline="0">
              <a:solidFill>
                <a:srgbClr val="000000"/>
              </a:solidFill>
              <a:latin typeface="Arial"/>
              <a:ea typeface="Arial"/>
              <a:cs typeface="Arial"/>
            </a:rPr>
            <a:t>Sufficient moisture is added in the form of water or saturated steam to replace the moisture lost via the exhaust air, which is replace with dryer outdoor air.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457200</xdr:colOff>
      <xdr:row>6</xdr:row>
      <xdr:rowOff>0</xdr:rowOff>
    </xdr:from>
    <xdr:ext cx="76200" cy="190500"/>
    <xdr:sp fLocksText="0">
      <xdr:nvSpPr>
        <xdr:cNvPr id="1" name="Text Box 1"/>
        <xdr:cNvSpPr txBox="1">
          <a:spLocks noChangeArrowheads="1"/>
        </xdr:cNvSpPr>
      </xdr:nvSpPr>
      <xdr:spPr>
        <a:xfrm>
          <a:off x="4191000" y="9715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390525</xdr:colOff>
      <xdr:row>1</xdr:row>
      <xdr:rowOff>142875</xdr:rowOff>
    </xdr:from>
    <xdr:to>
      <xdr:col>13</xdr:col>
      <xdr:colOff>285750</xdr:colOff>
      <xdr:row>13</xdr:row>
      <xdr:rowOff>19050</xdr:rowOff>
    </xdr:to>
    <xdr:sp>
      <xdr:nvSpPr>
        <xdr:cNvPr id="2" name="Freeform 2"/>
        <xdr:cNvSpPr>
          <a:spLocks/>
        </xdr:cNvSpPr>
      </xdr:nvSpPr>
      <xdr:spPr>
        <a:xfrm>
          <a:off x="5981700" y="304800"/>
          <a:ext cx="2438400" cy="1819275"/>
        </a:xfrm>
        <a:custGeom>
          <a:pathLst>
            <a:path h="70" w="123">
              <a:moveTo>
                <a:pt x="68" y="2"/>
              </a:moveTo>
              <a:cubicBezTo>
                <a:pt x="68" y="1"/>
                <a:pt x="68" y="1"/>
                <a:pt x="68" y="0"/>
              </a:cubicBezTo>
              <a:lnTo>
                <a:pt x="123" y="0"/>
              </a:lnTo>
              <a:lnTo>
                <a:pt x="123" y="70"/>
              </a:lnTo>
              <a:lnTo>
                <a:pt x="0" y="70"/>
              </a:lnTo>
              <a:lnTo>
                <a:pt x="0" y="53"/>
              </a:lnTo>
              <a:lnTo>
                <a:pt x="23" y="48"/>
              </a:lnTo>
              <a:lnTo>
                <a:pt x="39" y="41"/>
              </a:lnTo>
              <a:lnTo>
                <a:pt x="55" y="28"/>
              </a:lnTo>
              <a:lnTo>
                <a:pt x="64" y="15"/>
              </a:lnTo>
              <a:lnTo>
                <a:pt x="69" y="0"/>
              </a:lnTo>
              <a:lnTo>
                <a:pt x="68" y="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7</xdr:row>
      <xdr:rowOff>95250</xdr:rowOff>
    </xdr:from>
    <xdr:to>
      <xdr:col>12</xdr:col>
      <xdr:colOff>95250</xdr:colOff>
      <xdr:row>9</xdr:row>
      <xdr:rowOff>38100</xdr:rowOff>
    </xdr:to>
    <xdr:sp>
      <xdr:nvSpPr>
        <xdr:cNvPr id="3" name="Line 3"/>
        <xdr:cNvSpPr>
          <a:spLocks/>
        </xdr:cNvSpPr>
      </xdr:nvSpPr>
      <xdr:spPr>
        <a:xfrm flipH="1">
          <a:off x="6848475" y="1228725"/>
          <a:ext cx="7715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7</xdr:row>
      <xdr:rowOff>66675</xdr:rowOff>
    </xdr:from>
    <xdr:to>
      <xdr:col>12</xdr:col>
      <xdr:colOff>133350</xdr:colOff>
      <xdr:row>7</xdr:row>
      <xdr:rowOff>104775</xdr:rowOff>
    </xdr:to>
    <xdr:sp>
      <xdr:nvSpPr>
        <xdr:cNvPr id="4" name="Oval 4"/>
        <xdr:cNvSpPr>
          <a:spLocks/>
        </xdr:cNvSpPr>
      </xdr:nvSpPr>
      <xdr:spPr>
        <a:xfrm>
          <a:off x="7620000" y="120015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514350</xdr:colOff>
      <xdr:row>9</xdr:row>
      <xdr:rowOff>28575</xdr:rowOff>
    </xdr:from>
    <xdr:to>
      <xdr:col>10</xdr:col>
      <xdr:colOff>552450</xdr:colOff>
      <xdr:row>9</xdr:row>
      <xdr:rowOff>66675</xdr:rowOff>
    </xdr:to>
    <xdr:sp>
      <xdr:nvSpPr>
        <xdr:cNvPr id="5" name="Oval 5"/>
        <xdr:cNvSpPr>
          <a:spLocks/>
        </xdr:cNvSpPr>
      </xdr:nvSpPr>
      <xdr:spPr>
        <a:xfrm>
          <a:off x="6819900" y="148590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9</xdr:row>
      <xdr:rowOff>28575</xdr:rowOff>
    </xdr:from>
    <xdr:to>
      <xdr:col>11</xdr:col>
      <xdr:colOff>180975</xdr:colOff>
      <xdr:row>9</xdr:row>
      <xdr:rowOff>66675</xdr:rowOff>
    </xdr:to>
    <xdr:sp>
      <xdr:nvSpPr>
        <xdr:cNvPr id="6" name="Oval 6"/>
        <xdr:cNvSpPr>
          <a:spLocks/>
        </xdr:cNvSpPr>
      </xdr:nvSpPr>
      <xdr:spPr>
        <a:xfrm>
          <a:off x="7058025" y="148590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561975</xdr:colOff>
      <xdr:row>9</xdr:row>
      <xdr:rowOff>47625</xdr:rowOff>
    </xdr:from>
    <xdr:to>
      <xdr:col>11</xdr:col>
      <xdr:colOff>152400</xdr:colOff>
      <xdr:row>9</xdr:row>
      <xdr:rowOff>47625</xdr:rowOff>
    </xdr:to>
    <xdr:sp>
      <xdr:nvSpPr>
        <xdr:cNvPr id="7" name="Line 7"/>
        <xdr:cNvSpPr>
          <a:spLocks/>
        </xdr:cNvSpPr>
      </xdr:nvSpPr>
      <xdr:spPr>
        <a:xfrm>
          <a:off x="6867525" y="15049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6</xdr:row>
      <xdr:rowOff>95250</xdr:rowOff>
    </xdr:from>
    <xdr:to>
      <xdr:col>12</xdr:col>
      <xdr:colOff>400050</xdr:colOff>
      <xdr:row>7</xdr:row>
      <xdr:rowOff>133350</xdr:rowOff>
    </xdr:to>
    <xdr:sp>
      <xdr:nvSpPr>
        <xdr:cNvPr id="8" name="Text Box 8"/>
        <xdr:cNvSpPr txBox="1">
          <a:spLocks noChangeArrowheads="1"/>
        </xdr:cNvSpPr>
      </xdr:nvSpPr>
      <xdr:spPr>
        <a:xfrm>
          <a:off x="7705725" y="1066800"/>
          <a:ext cx="219075" cy="200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In</a:t>
          </a:r>
        </a:p>
      </xdr:txBody>
    </xdr:sp>
    <xdr:clientData/>
  </xdr:twoCellAnchor>
  <xdr:twoCellAnchor>
    <xdr:from>
      <xdr:col>10</xdr:col>
      <xdr:colOff>285750</xdr:colOff>
      <xdr:row>9</xdr:row>
      <xdr:rowOff>76200</xdr:rowOff>
    </xdr:from>
    <xdr:to>
      <xdr:col>10</xdr:col>
      <xdr:colOff>561975</xdr:colOff>
      <xdr:row>10</xdr:row>
      <xdr:rowOff>57150</xdr:rowOff>
    </xdr:to>
    <xdr:sp>
      <xdr:nvSpPr>
        <xdr:cNvPr id="9" name="Text Box 9"/>
        <xdr:cNvSpPr txBox="1">
          <a:spLocks noChangeArrowheads="1"/>
        </xdr:cNvSpPr>
      </xdr:nvSpPr>
      <xdr:spPr>
        <a:xfrm>
          <a:off x="6591300" y="1533525"/>
          <a:ext cx="276225" cy="142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Out</a:t>
          </a:r>
        </a:p>
      </xdr:txBody>
    </xdr:sp>
    <xdr:clientData/>
  </xdr:twoCellAnchor>
  <xdr:oneCellAnchor>
    <xdr:from>
      <xdr:col>11</xdr:col>
      <xdr:colOff>247650</xdr:colOff>
      <xdr:row>9</xdr:row>
      <xdr:rowOff>133350</xdr:rowOff>
    </xdr:from>
    <xdr:ext cx="857250" cy="142875"/>
    <xdr:sp>
      <xdr:nvSpPr>
        <xdr:cNvPr id="10" name="Text Box 10"/>
        <xdr:cNvSpPr txBox="1">
          <a:spLocks noChangeArrowheads="1"/>
        </xdr:cNvSpPr>
      </xdr:nvSpPr>
      <xdr:spPr>
        <a:xfrm>
          <a:off x="7162800" y="1590675"/>
          <a:ext cx="857250" cy="14287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Fan Heat Included</a:t>
          </a:r>
        </a:p>
      </xdr:txBody>
    </xdr:sp>
    <xdr:clientData/>
  </xdr:oneCellAnchor>
  <xdr:oneCellAnchor>
    <xdr:from>
      <xdr:col>9</xdr:col>
      <xdr:colOff>647700</xdr:colOff>
      <xdr:row>10</xdr:row>
      <xdr:rowOff>95250</xdr:rowOff>
    </xdr:from>
    <xdr:ext cx="933450" cy="161925"/>
    <xdr:sp>
      <xdr:nvSpPr>
        <xdr:cNvPr id="11" name="Text Box 11"/>
        <xdr:cNvSpPr txBox="1">
          <a:spLocks noChangeArrowheads="1"/>
        </xdr:cNvSpPr>
      </xdr:nvSpPr>
      <xdr:spPr>
        <a:xfrm>
          <a:off x="6238875" y="1714500"/>
          <a:ext cx="9334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Fan Heat Neglected</a:t>
          </a:r>
        </a:p>
      </xdr:txBody>
    </xdr:sp>
    <xdr:clientData/>
  </xdr:oneCellAnchor>
  <xdr:twoCellAnchor>
    <xdr:from>
      <xdr:col>11</xdr:col>
      <xdr:colOff>219075</xdr:colOff>
      <xdr:row>8</xdr:row>
      <xdr:rowOff>142875</xdr:rowOff>
    </xdr:from>
    <xdr:to>
      <xdr:col>11</xdr:col>
      <xdr:colOff>495300</xdr:colOff>
      <xdr:row>9</xdr:row>
      <xdr:rowOff>123825</xdr:rowOff>
    </xdr:to>
    <xdr:sp>
      <xdr:nvSpPr>
        <xdr:cNvPr id="12" name="Text Box 22"/>
        <xdr:cNvSpPr txBox="1">
          <a:spLocks noChangeArrowheads="1"/>
        </xdr:cNvSpPr>
      </xdr:nvSpPr>
      <xdr:spPr>
        <a:xfrm>
          <a:off x="7134225" y="1438275"/>
          <a:ext cx="276225" cy="142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Net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5</xdr:row>
      <xdr:rowOff>28575</xdr:rowOff>
    </xdr:from>
    <xdr:to>
      <xdr:col>8</xdr:col>
      <xdr:colOff>561975</xdr:colOff>
      <xdr:row>12</xdr:row>
      <xdr:rowOff>95250</xdr:rowOff>
    </xdr:to>
    <xdr:sp>
      <xdr:nvSpPr>
        <xdr:cNvPr id="1" name="Rectangle 1"/>
        <xdr:cNvSpPr>
          <a:spLocks/>
        </xdr:cNvSpPr>
      </xdr:nvSpPr>
      <xdr:spPr>
        <a:xfrm>
          <a:off x="5495925" y="838200"/>
          <a:ext cx="371475"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6</xdr:row>
      <xdr:rowOff>85725</xdr:rowOff>
    </xdr:from>
    <xdr:to>
      <xdr:col>8</xdr:col>
      <xdr:colOff>523875</xdr:colOff>
      <xdr:row>7</xdr:row>
      <xdr:rowOff>47625</xdr:rowOff>
    </xdr:to>
    <xdr:sp>
      <xdr:nvSpPr>
        <xdr:cNvPr id="2" name="AutoShape 3"/>
        <xdr:cNvSpPr>
          <a:spLocks/>
        </xdr:cNvSpPr>
      </xdr:nvSpPr>
      <xdr:spPr>
        <a:xfrm>
          <a:off x="5695950" y="1057275"/>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7</xdr:row>
      <xdr:rowOff>38100</xdr:rowOff>
    </xdr:from>
    <xdr:to>
      <xdr:col>8</xdr:col>
      <xdr:colOff>371475</xdr:colOff>
      <xdr:row>8</xdr:row>
      <xdr:rowOff>0</xdr:rowOff>
    </xdr:to>
    <xdr:sp>
      <xdr:nvSpPr>
        <xdr:cNvPr id="3" name="AutoShape 4"/>
        <xdr:cNvSpPr>
          <a:spLocks/>
        </xdr:cNvSpPr>
      </xdr:nvSpPr>
      <xdr:spPr>
        <a:xfrm>
          <a:off x="5543550" y="1171575"/>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8</xdr:row>
      <xdr:rowOff>9525</xdr:rowOff>
    </xdr:from>
    <xdr:to>
      <xdr:col>8</xdr:col>
      <xdr:colOff>533400</xdr:colOff>
      <xdr:row>8</xdr:row>
      <xdr:rowOff>133350</xdr:rowOff>
    </xdr:to>
    <xdr:sp>
      <xdr:nvSpPr>
        <xdr:cNvPr id="4" name="AutoShape 5"/>
        <xdr:cNvSpPr>
          <a:spLocks/>
        </xdr:cNvSpPr>
      </xdr:nvSpPr>
      <xdr:spPr>
        <a:xfrm>
          <a:off x="5705475" y="1304925"/>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8</xdr:row>
      <xdr:rowOff>123825</xdr:rowOff>
    </xdr:from>
    <xdr:to>
      <xdr:col>8</xdr:col>
      <xdr:colOff>371475</xdr:colOff>
      <xdr:row>9</xdr:row>
      <xdr:rowOff>85725</xdr:rowOff>
    </xdr:to>
    <xdr:sp>
      <xdr:nvSpPr>
        <xdr:cNvPr id="5" name="AutoShape 6"/>
        <xdr:cNvSpPr>
          <a:spLocks/>
        </xdr:cNvSpPr>
      </xdr:nvSpPr>
      <xdr:spPr>
        <a:xfrm>
          <a:off x="5543550" y="1419225"/>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9</xdr:row>
      <xdr:rowOff>85725</xdr:rowOff>
    </xdr:from>
    <xdr:to>
      <xdr:col>8</xdr:col>
      <xdr:colOff>533400</xdr:colOff>
      <xdr:row>10</xdr:row>
      <xdr:rowOff>47625</xdr:rowOff>
    </xdr:to>
    <xdr:sp>
      <xdr:nvSpPr>
        <xdr:cNvPr id="6" name="AutoShape 7"/>
        <xdr:cNvSpPr>
          <a:spLocks/>
        </xdr:cNvSpPr>
      </xdr:nvSpPr>
      <xdr:spPr>
        <a:xfrm>
          <a:off x="5705475" y="1543050"/>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5</xdr:row>
      <xdr:rowOff>114300</xdr:rowOff>
    </xdr:from>
    <xdr:to>
      <xdr:col>8</xdr:col>
      <xdr:colOff>361950</xdr:colOff>
      <xdr:row>6</xdr:row>
      <xdr:rowOff>76200</xdr:rowOff>
    </xdr:to>
    <xdr:sp>
      <xdr:nvSpPr>
        <xdr:cNvPr id="7" name="AutoShape 8"/>
        <xdr:cNvSpPr>
          <a:spLocks/>
        </xdr:cNvSpPr>
      </xdr:nvSpPr>
      <xdr:spPr>
        <a:xfrm>
          <a:off x="5534025" y="923925"/>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10</xdr:row>
      <xdr:rowOff>28575</xdr:rowOff>
    </xdr:from>
    <xdr:to>
      <xdr:col>8</xdr:col>
      <xdr:colOff>371475</xdr:colOff>
      <xdr:row>10</xdr:row>
      <xdr:rowOff>152400</xdr:rowOff>
    </xdr:to>
    <xdr:sp>
      <xdr:nvSpPr>
        <xdr:cNvPr id="8" name="AutoShape 9"/>
        <xdr:cNvSpPr>
          <a:spLocks/>
        </xdr:cNvSpPr>
      </xdr:nvSpPr>
      <xdr:spPr>
        <a:xfrm>
          <a:off x="5543550" y="1647825"/>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11</xdr:row>
      <xdr:rowOff>76200</xdr:rowOff>
    </xdr:from>
    <xdr:to>
      <xdr:col>8</xdr:col>
      <xdr:colOff>371475</xdr:colOff>
      <xdr:row>12</xdr:row>
      <xdr:rowOff>38100</xdr:rowOff>
    </xdr:to>
    <xdr:sp>
      <xdr:nvSpPr>
        <xdr:cNvPr id="9" name="AutoShape 10"/>
        <xdr:cNvSpPr>
          <a:spLocks/>
        </xdr:cNvSpPr>
      </xdr:nvSpPr>
      <xdr:spPr>
        <a:xfrm>
          <a:off x="5543550" y="1857375"/>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10</xdr:row>
      <xdr:rowOff>142875</xdr:rowOff>
    </xdr:from>
    <xdr:to>
      <xdr:col>8</xdr:col>
      <xdr:colOff>542925</xdr:colOff>
      <xdr:row>11</xdr:row>
      <xdr:rowOff>104775</xdr:rowOff>
    </xdr:to>
    <xdr:sp>
      <xdr:nvSpPr>
        <xdr:cNvPr id="10" name="AutoShape 11"/>
        <xdr:cNvSpPr>
          <a:spLocks/>
        </xdr:cNvSpPr>
      </xdr:nvSpPr>
      <xdr:spPr>
        <a:xfrm>
          <a:off x="5715000" y="1762125"/>
          <a:ext cx="133350" cy="1238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7</xdr:row>
      <xdr:rowOff>152400</xdr:rowOff>
    </xdr:from>
    <xdr:to>
      <xdr:col>8</xdr:col>
      <xdr:colOff>95250</xdr:colOff>
      <xdr:row>9</xdr:row>
      <xdr:rowOff>123825</xdr:rowOff>
    </xdr:to>
    <xdr:sp>
      <xdr:nvSpPr>
        <xdr:cNvPr id="11" name="AutoShape 12"/>
        <xdr:cNvSpPr>
          <a:spLocks/>
        </xdr:cNvSpPr>
      </xdr:nvSpPr>
      <xdr:spPr>
        <a:xfrm>
          <a:off x="5029200" y="1285875"/>
          <a:ext cx="371475" cy="2952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7</xdr:row>
      <xdr:rowOff>142875</xdr:rowOff>
    </xdr:from>
    <xdr:to>
      <xdr:col>9</xdr:col>
      <xdr:colOff>504825</xdr:colOff>
      <xdr:row>9</xdr:row>
      <xdr:rowOff>114300</xdr:rowOff>
    </xdr:to>
    <xdr:sp>
      <xdr:nvSpPr>
        <xdr:cNvPr id="12" name="AutoShape 13"/>
        <xdr:cNvSpPr>
          <a:spLocks/>
        </xdr:cNvSpPr>
      </xdr:nvSpPr>
      <xdr:spPr>
        <a:xfrm>
          <a:off x="6048375" y="1276350"/>
          <a:ext cx="371475" cy="2952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57150</xdr:colOff>
      <xdr:row>10</xdr:row>
      <xdr:rowOff>0</xdr:rowOff>
    </xdr:from>
    <xdr:ext cx="561975" cy="323850"/>
    <xdr:sp>
      <xdr:nvSpPr>
        <xdr:cNvPr id="13" name="Text Box 14"/>
        <xdr:cNvSpPr txBox="1">
          <a:spLocks noChangeArrowheads="1"/>
        </xdr:cNvSpPr>
      </xdr:nvSpPr>
      <xdr:spPr>
        <a:xfrm>
          <a:off x="4752975" y="1619250"/>
          <a:ext cx="561975" cy="3238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T(dbRet)
</a:t>
          </a:r>
          <a:r>
            <a:rPr lang="en-US" cap="none" sz="1000" b="0" i="0" u="none" baseline="0">
              <a:solidFill>
                <a:srgbClr val="000000"/>
              </a:solidFill>
              <a:latin typeface="Arial"/>
              <a:ea typeface="Arial"/>
              <a:cs typeface="Arial"/>
            </a:rPr>
            <a:t>T(wbRet)</a:t>
          </a:r>
        </a:p>
      </xdr:txBody>
    </xdr:sp>
    <xdr:clientData/>
  </xdr:oneCellAnchor>
  <xdr:oneCellAnchor>
    <xdr:from>
      <xdr:col>9</xdr:col>
      <xdr:colOff>104775</xdr:colOff>
      <xdr:row>9</xdr:row>
      <xdr:rowOff>123825</xdr:rowOff>
    </xdr:from>
    <xdr:ext cx="581025" cy="314325"/>
    <xdr:sp>
      <xdr:nvSpPr>
        <xdr:cNvPr id="14" name="Text Box 15"/>
        <xdr:cNvSpPr txBox="1">
          <a:spLocks noChangeArrowheads="1"/>
        </xdr:cNvSpPr>
      </xdr:nvSpPr>
      <xdr:spPr>
        <a:xfrm>
          <a:off x="6019800" y="1581150"/>
          <a:ext cx="581025" cy="31432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T(dbSup)
</a:t>
          </a:r>
          <a:r>
            <a:rPr lang="en-US" cap="none" sz="1000" b="0" i="0" u="none" baseline="0">
              <a:solidFill>
                <a:srgbClr val="000000"/>
              </a:solidFill>
              <a:latin typeface="Arial"/>
              <a:ea typeface="Arial"/>
              <a:cs typeface="Arial"/>
            </a:rPr>
            <a:t>T(wbSup)</a:t>
          </a:r>
        </a:p>
      </xdr:txBody>
    </xdr:sp>
    <xdr:clientData/>
  </xdr:oneCellAnchor>
  <xdr:oneCellAnchor>
    <xdr:from>
      <xdr:col>7</xdr:col>
      <xdr:colOff>276225</xdr:colOff>
      <xdr:row>4</xdr:row>
      <xdr:rowOff>76200</xdr:rowOff>
    </xdr:from>
    <xdr:ext cx="400050" cy="171450"/>
    <xdr:sp>
      <xdr:nvSpPr>
        <xdr:cNvPr id="15" name="Text Box 16"/>
        <xdr:cNvSpPr txBox="1">
          <a:spLocks noChangeArrowheads="1"/>
        </xdr:cNvSpPr>
      </xdr:nvSpPr>
      <xdr:spPr>
        <a:xfrm>
          <a:off x="4972050" y="723900"/>
          <a:ext cx="400050"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T(adp)</a:t>
          </a:r>
        </a:p>
      </xdr:txBody>
    </xdr:sp>
    <xdr:clientData/>
  </xdr:oneCellAnchor>
  <xdr:twoCellAnchor>
    <xdr:from>
      <xdr:col>8</xdr:col>
      <xdr:colOff>0</xdr:colOff>
      <xdr:row>5</xdr:row>
      <xdr:rowOff>95250</xdr:rowOff>
    </xdr:from>
    <xdr:to>
      <xdr:col>8</xdr:col>
      <xdr:colOff>228600</xdr:colOff>
      <xdr:row>6</xdr:row>
      <xdr:rowOff>0</xdr:rowOff>
    </xdr:to>
    <xdr:sp>
      <xdr:nvSpPr>
        <xdr:cNvPr id="16" name="Line 17"/>
        <xdr:cNvSpPr>
          <a:spLocks/>
        </xdr:cNvSpPr>
      </xdr:nvSpPr>
      <xdr:spPr>
        <a:xfrm>
          <a:off x="5305425" y="904875"/>
          <a:ext cx="228600"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152400</xdr:colOff>
      <xdr:row>6</xdr:row>
      <xdr:rowOff>133350</xdr:rowOff>
    </xdr:from>
    <xdr:ext cx="552450" cy="180975"/>
    <xdr:sp>
      <xdr:nvSpPr>
        <xdr:cNvPr id="17" name="Text Box 18"/>
        <xdr:cNvSpPr txBox="1">
          <a:spLocks noChangeArrowheads="1"/>
        </xdr:cNvSpPr>
      </xdr:nvSpPr>
      <xdr:spPr>
        <a:xfrm>
          <a:off x="4848225" y="1104900"/>
          <a:ext cx="552450"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Q(airRet)</a:t>
          </a:r>
        </a:p>
      </xdr:txBody>
    </xdr:sp>
    <xdr:clientData/>
  </xdr:oneCellAnchor>
  <xdr:oneCellAnchor>
    <xdr:from>
      <xdr:col>9</xdr:col>
      <xdr:colOff>76200</xdr:colOff>
      <xdr:row>6</xdr:row>
      <xdr:rowOff>104775</xdr:rowOff>
    </xdr:from>
    <xdr:ext cx="581025" cy="180975"/>
    <xdr:sp>
      <xdr:nvSpPr>
        <xdr:cNvPr id="18" name="Text Box 19"/>
        <xdr:cNvSpPr txBox="1">
          <a:spLocks noChangeArrowheads="1"/>
        </xdr:cNvSpPr>
      </xdr:nvSpPr>
      <xdr:spPr>
        <a:xfrm>
          <a:off x="5991225" y="1076325"/>
          <a:ext cx="581025" cy="180975"/>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Q(airSup)</a:t>
          </a:r>
        </a:p>
      </xdr:txBody>
    </xdr:sp>
    <xdr:clientData/>
  </xdr:oneCellAnchor>
  <xdr:oneCellAnchor>
    <xdr:from>
      <xdr:col>6</xdr:col>
      <xdr:colOff>438150</xdr:colOff>
      <xdr:row>2</xdr:row>
      <xdr:rowOff>0</xdr:rowOff>
    </xdr:from>
    <xdr:ext cx="76200" cy="190500"/>
    <xdr:sp fLocksText="0">
      <xdr:nvSpPr>
        <xdr:cNvPr id="19" name="Text Box 20"/>
        <xdr:cNvSpPr txBox="1">
          <a:spLocks noChangeArrowheads="1"/>
        </xdr:cNvSpPr>
      </xdr:nvSpPr>
      <xdr:spPr>
        <a:xfrm>
          <a:off x="4495800" y="3238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342900</xdr:colOff>
      <xdr:row>3</xdr:row>
      <xdr:rowOff>0</xdr:rowOff>
    </xdr:from>
    <xdr:ext cx="2695575" cy="171450"/>
    <xdr:sp>
      <xdr:nvSpPr>
        <xdr:cNvPr id="20" name="Text Box 22"/>
        <xdr:cNvSpPr txBox="1">
          <a:spLocks noChangeArrowheads="1"/>
        </xdr:cNvSpPr>
      </xdr:nvSpPr>
      <xdr:spPr>
        <a:xfrm>
          <a:off x="5038725" y="485775"/>
          <a:ext cx="2695575" cy="171450"/>
        </a:xfrm>
        <a:prstGeom prst="rect">
          <a:avLst/>
        </a:prstGeom>
        <a:noFill/>
        <a:ln w="9525" cmpd="sng">
          <a:noFill/>
        </a:ln>
      </xdr:spPr>
      <xdr:txBody>
        <a:bodyPr vertOverflow="clip" wrap="square" lIns="27432" tIns="27432" rIns="0" bIns="0">
          <a:spAutoFit/>
        </a:bodyPr>
        <a:p>
          <a:pPr algn="l">
            <a:defRPr/>
          </a:pPr>
          <a:r>
            <a:rPr lang="en-US" cap="none" sz="1000" b="0" i="0" u="none" baseline="0">
              <a:solidFill>
                <a:srgbClr val="000000"/>
              </a:solidFill>
              <a:latin typeface="Arial"/>
              <a:ea typeface="Arial"/>
              <a:cs typeface="Arial"/>
            </a:rPr>
            <a:t>BPFactor = 1-(TdbRet-TdbSup)/(TdbRet-Tadp)</a:t>
          </a:r>
        </a:p>
      </xdr:txBody>
    </xdr:sp>
    <xdr:clientData/>
  </xdr:oneCellAnchor>
  <xdr:twoCellAnchor>
    <xdr:from>
      <xdr:col>7</xdr:col>
      <xdr:colOff>438150</xdr:colOff>
      <xdr:row>13</xdr:row>
      <xdr:rowOff>9525</xdr:rowOff>
    </xdr:from>
    <xdr:to>
      <xdr:col>10</xdr:col>
      <xdr:colOff>523875</xdr:colOff>
      <xdr:row>21</xdr:row>
      <xdr:rowOff>76200</xdr:rowOff>
    </xdr:to>
    <xdr:sp>
      <xdr:nvSpPr>
        <xdr:cNvPr id="21" name="Freeform 23"/>
        <xdr:cNvSpPr>
          <a:spLocks/>
        </xdr:cNvSpPr>
      </xdr:nvSpPr>
      <xdr:spPr>
        <a:xfrm>
          <a:off x="5133975" y="2114550"/>
          <a:ext cx="1914525" cy="1362075"/>
        </a:xfrm>
        <a:custGeom>
          <a:pathLst>
            <a:path h="70" w="123">
              <a:moveTo>
                <a:pt x="68" y="2"/>
              </a:moveTo>
              <a:cubicBezTo>
                <a:pt x="68" y="1"/>
                <a:pt x="68" y="1"/>
                <a:pt x="68" y="0"/>
              </a:cubicBezTo>
              <a:lnTo>
                <a:pt x="123" y="0"/>
              </a:lnTo>
              <a:lnTo>
                <a:pt x="123" y="70"/>
              </a:lnTo>
              <a:lnTo>
                <a:pt x="0" y="70"/>
              </a:lnTo>
              <a:lnTo>
                <a:pt x="0" y="53"/>
              </a:lnTo>
              <a:lnTo>
                <a:pt x="23" y="48"/>
              </a:lnTo>
              <a:lnTo>
                <a:pt x="39" y="41"/>
              </a:lnTo>
              <a:lnTo>
                <a:pt x="55" y="28"/>
              </a:lnTo>
              <a:lnTo>
                <a:pt x="64" y="15"/>
              </a:lnTo>
              <a:lnTo>
                <a:pt x="69" y="0"/>
              </a:lnTo>
              <a:lnTo>
                <a:pt x="68" y="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17</xdr:row>
      <xdr:rowOff>104775</xdr:rowOff>
    </xdr:from>
    <xdr:to>
      <xdr:col>9</xdr:col>
      <xdr:colOff>390525</xdr:colOff>
      <xdr:row>17</xdr:row>
      <xdr:rowOff>142875</xdr:rowOff>
    </xdr:to>
    <xdr:sp>
      <xdr:nvSpPr>
        <xdr:cNvPr id="22" name="Oval 24"/>
        <xdr:cNvSpPr>
          <a:spLocks/>
        </xdr:cNvSpPr>
      </xdr:nvSpPr>
      <xdr:spPr>
        <a:xfrm>
          <a:off x="6267450" y="285750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18</xdr:row>
      <xdr:rowOff>76200</xdr:rowOff>
    </xdr:from>
    <xdr:to>
      <xdr:col>8</xdr:col>
      <xdr:colOff>361950</xdr:colOff>
      <xdr:row>18</xdr:row>
      <xdr:rowOff>114300</xdr:rowOff>
    </xdr:to>
    <xdr:sp>
      <xdr:nvSpPr>
        <xdr:cNvPr id="23" name="Oval 25"/>
        <xdr:cNvSpPr>
          <a:spLocks/>
        </xdr:cNvSpPr>
      </xdr:nvSpPr>
      <xdr:spPr>
        <a:xfrm>
          <a:off x="5629275" y="299085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18</xdr:row>
      <xdr:rowOff>114300</xdr:rowOff>
    </xdr:from>
    <xdr:to>
      <xdr:col>8</xdr:col>
      <xdr:colOff>190500</xdr:colOff>
      <xdr:row>18</xdr:row>
      <xdr:rowOff>152400</xdr:rowOff>
    </xdr:to>
    <xdr:sp>
      <xdr:nvSpPr>
        <xdr:cNvPr id="24" name="Oval 26"/>
        <xdr:cNvSpPr>
          <a:spLocks/>
        </xdr:cNvSpPr>
      </xdr:nvSpPr>
      <xdr:spPr>
        <a:xfrm>
          <a:off x="5457825" y="3028950"/>
          <a:ext cx="38100" cy="38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361950</xdr:colOff>
      <xdr:row>17</xdr:row>
      <xdr:rowOff>133350</xdr:rowOff>
    </xdr:from>
    <xdr:to>
      <xdr:col>9</xdr:col>
      <xdr:colOff>352425</xdr:colOff>
      <xdr:row>18</xdr:row>
      <xdr:rowOff>95250</xdr:rowOff>
    </xdr:to>
    <xdr:sp>
      <xdr:nvSpPr>
        <xdr:cNvPr id="25" name="Line 27"/>
        <xdr:cNvSpPr>
          <a:spLocks/>
        </xdr:cNvSpPr>
      </xdr:nvSpPr>
      <xdr:spPr>
        <a:xfrm flipH="1">
          <a:off x="5667375" y="2886075"/>
          <a:ext cx="6000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419100</xdr:colOff>
      <xdr:row>17</xdr:row>
      <xdr:rowOff>0</xdr:rowOff>
    </xdr:from>
    <xdr:ext cx="247650" cy="161925"/>
    <xdr:sp>
      <xdr:nvSpPr>
        <xdr:cNvPr id="26" name="Text Box 28"/>
        <xdr:cNvSpPr txBox="1">
          <a:spLocks noChangeArrowheads="1"/>
        </xdr:cNvSpPr>
      </xdr:nvSpPr>
      <xdr:spPr>
        <a:xfrm>
          <a:off x="6334125" y="2752725"/>
          <a:ext cx="2476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t(ret)</a:t>
          </a:r>
        </a:p>
      </xdr:txBody>
    </xdr:sp>
    <xdr:clientData/>
  </xdr:oneCellAnchor>
  <xdr:oneCellAnchor>
    <xdr:from>
      <xdr:col>8</xdr:col>
      <xdr:colOff>304800</xdr:colOff>
      <xdr:row>18</xdr:row>
      <xdr:rowOff>142875</xdr:rowOff>
    </xdr:from>
    <xdr:ext cx="285750" cy="161925"/>
    <xdr:sp>
      <xdr:nvSpPr>
        <xdr:cNvPr id="27" name="Text Box 29"/>
        <xdr:cNvSpPr txBox="1">
          <a:spLocks noChangeArrowheads="1"/>
        </xdr:cNvSpPr>
      </xdr:nvSpPr>
      <xdr:spPr>
        <a:xfrm>
          <a:off x="5610225" y="3057525"/>
          <a:ext cx="2857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t(sup)</a:t>
          </a:r>
        </a:p>
      </xdr:txBody>
    </xdr:sp>
    <xdr:clientData/>
  </xdr:oneCellAnchor>
  <xdr:oneCellAnchor>
    <xdr:from>
      <xdr:col>7</xdr:col>
      <xdr:colOff>533400</xdr:colOff>
      <xdr:row>19</xdr:row>
      <xdr:rowOff>38100</xdr:rowOff>
    </xdr:from>
    <xdr:ext cx="295275" cy="161925"/>
    <xdr:sp>
      <xdr:nvSpPr>
        <xdr:cNvPr id="28" name="Text Box 30"/>
        <xdr:cNvSpPr txBox="1">
          <a:spLocks noChangeArrowheads="1"/>
        </xdr:cNvSpPr>
      </xdr:nvSpPr>
      <xdr:spPr>
        <a:xfrm>
          <a:off x="5229225" y="3114675"/>
          <a:ext cx="29527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t(adp)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9:G24"/>
  <sheetViews>
    <sheetView tabSelected="1" zoomScalePageLayoutView="0" workbookViewId="0" topLeftCell="A1">
      <selection activeCell="E28" sqref="E28"/>
    </sheetView>
  </sheetViews>
  <sheetFormatPr defaultColWidth="9.140625" defaultRowHeight="12.75"/>
  <cols>
    <col min="3" max="3" width="11.00390625" style="0" customWidth="1"/>
    <col min="4" max="4" width="2.140625" style="0" customWidth="1"/>
    <col min="7" max="7" width="12.00390625" style="0" customWidth="1"/>
  </cols>
  <sheetData>
    <row r="9" spans="1:7" ht="12.75">
      <c r="A9" t="s">
        <v>13</v>
      </c>
      <c r="B9" s="1">
        <v>80</v>
      </c>
      <c r="C9" t="s">
        <v>1</v>
      </c>
      <c r="E9" s="1" t="s">
        <v>21</v>
      </c>
      <c r="F9" s="1">
        <v>55</v>
      </c>
      <c r="G9" t="s">
        <v>1</v>
      </c>
    </row>
    <row r="10" spans="1:7" ht="12.75">
      <c r="A10" t="s">
        <v>20</v>
      </c>
      <c r="B10" s="1">
        <v>67</v>
      </c>
      <c r="C10" t="s">
        <v>1</v>
      </c>
      <c r="E10" s="1" t="s">
        <v>22</v>
      </c>
      <c r="F10" s="1">
        <v>54</v>
      </c>
      <c r="G10" t="s">
        <v>1</v>
      </c>
    </row>
    <row r="11" spans="1:3" ht="12.75">
      <c r="A11" t="s">
        <v>0</v>
      </c>
      <c r="B11" s="1">
        <v>650</v>
      </c>
      <c r="C11" t="s">
        <v>2</v>
      </c>
    </row>
    <row r="12" spans="1:3" ht="12.75">
      <c r="A12" t="s">
        <v>4</v>
      </c>
      <c r="B12" s="29">
        <f>14.696*(1-0.0000068753*Elevation)^5.2559</f>
        <v>14.354082248152583</v>
      </c>
      <c r="C12" t="s">
        <v>5</v>
      </c>
    </row>
    <row r="13" spans="1:3" ht="12.75">
      <c r="A13" t="s">
        <v>6</v>
      </c>
      <c r="B13" s="29">
        <f>AtmPress*2.03602</f>
        <v>29.225198538883625</v>
      </c>
      <c r="C13" t="s">
        <v>7</v>
      </c>
    </row>
    <row r="15" spans="1:7" ht="12.75">
      <c r="A15" t="s">
        <v>15</v>
      </c>
      <c r="B15" s="2">
        <f>HumRat(Tdb1,Twb1,Elevation)</f>
        <v>0.011513808014113013</v>
      </c>
      <c r="C15" t="s">
        <v>3</v>
      </c>
      <c r="E15" t="s">
        <v>23</v>
      </c>
      <c r="F15" s="2">
        <f>HumRat(Tdb2,Twb2,Elevation)</f>
        <v>0.0088458026971267</v>
      </c>
      <c r="G15" t="s">
        <v>3</v>
      </c>
    </row>
    <row r="16" spans="2:7" ht="12.75">
      <c r="B16" s="3">
        <f>HRatio1*7000</f>
        <v>80.59665609879109</v>
      </c>
      <c r="C16" t="s">
        <v>12</v>
      </c>
      <c r="F16" s="3">
        <f>HRatio2*7000</f>
        <v>61.9206188798869</v>
      </c>
      <c r="G16" t="s">
        <v>12</v>
      </c>
    </row>
    <row r="17" spans="1:7" ht="12.75">
      <c r="A17" t="s">
        <v>14</v>
      </c>
      <c r="B17" s="3">
        <f>RelHum(Tdb1,Twb1,Elevation)</f>
        <v>51.42133819435004</v>
      </c>
      <c r="C17" t="s">
        <v>8</v>
      </c>
      <c r="E17" t="s">
        <v>24</v>
      </c>
      <c r="F17" s="3">
        <f>RelHum(Tdb2,Twb2,Elevation)</f>
        <v>94.0129237630189</v>
      </c>
      <c r="G17" t="s">
        <v>8</v>
      </c>
    </row>
    <row r="18" spans="1:7" ht="12.75">
      <c r="A18" t="s">
        <v>16</v>
      </c>
      <c r="B18" s="4">
        <f>0.24+HRatio1*0.444</f>
        <v>0.24511213075826616</v>
      </c>
      <c r="C18" t="s">
        <v>9</v>
      </c>
      <c r="E18" t="s">
        <v>25</v>
      </c>
      <c r="F18" s="4">
        <f>0.24+HRatio2*0.444</f>
        <v>0.24392753639752424</v>
      </c>
      <c r="G18" t="s">
        <v>9</v>
      </c>
    </row>
    <row r="19" spans="1:7" ht="12.75">
      <c r="A19" t="s">
        <v>17</v>
      </c>
      <c r="B19" s="3">
        <f>0.24*Tdb1+HRatio1*(1061+0.444*Tdb1)</f>
        <v>31.825120763635198</v>
      </c>
      <c r="C19" t="s">
        <v>10</v>
      </c>
      <c r="E19" t="s">
        <v>26</v>
      </c>
      <c r="F19" s="3">
        <f>0.24*Tdb2+HRatio2*(1061+0.444*Tdb2)</f>
        <v>22.80141116351526</v>
      </c>
      <c r="G19" t="s">
        <v>10</v>
      </c>
    </row>
    <row r="20" spans="1:7" ht="12.75">
      <c r="A20" t="s">
        <v>18</v>
      </c>
      <c r="B20" s="5">
        <f>0.7543*(Tdb1+459.67)*(1+1.6078*HRatio1)/APinHg</f>
        <v>14.186688135934627</v>
      </c>
      <c r="C20" t="s">
        <v>11</v>
      </c>
      <c r="E20" t="s">
        <v>27</v>
      </c>
      <c r="F20" s="5">
        <f>0.7543*(Tdb2+459.67)*(1+1.6078*HRatio2)/APinHg</f>
        <v>13.472513857569975</v>
      </c>
      <c r="G20" t="s">
        <v>11</v>
      </c>
    </row>
    <row r="21" spans="1:7" ht="12.75">
      <c r="A21" t="s">
        <v>19</v>
      </c>
      <c r="B21" s="3">
        <f>DewPoint(AtmPress,HRatio1)</f>
        <v>60.546243509611294</v>
      </c>
      <c r="C21" t="s">
        <v>1</v>
      </c>
      <c r="E21" t="s">
        <v>28</v>
      </c>
      <c r="F21" s="3">
        <f>DewPoint(AtmPress,HRatio2)</f>
        <v>53.37350311490128</v>
      </c>
      <c r="G21" t="s">
        <v>1</v>
      </c>
    </row>
    <row r="22" spans="1:7" ht="15.75">
      <c r="A22" t="s">
        <v>117</v>
      </c>
      <c r="B22">
        <f>HRatio1/SpVol1</f>
        <v>0.0008115923818011298</v>
      </c>
      <c r="C22" t="s">
        <v>222</v>
      </c>
      <c r="E22" t="s">
        <v>117</v>
      </c>
      <c r="F22">
        <f>HRatio2/SpVol2</f>
        <v>0.0006565814509930079</v>
      </c>
      <c r="G22" t="s">
        <v>222</v>
      </c>
    </row>
    <row r="23" ht="12.75">
      <c r="D23" s="7"/>
    </row>
    <row r="24" ht="12.75">
      <c r="D24" s="7"/>
    </row>
  </sheetData>
  <sheetProtection/>
  <printOptions/>
  <pageMargins left="0.75" right="0.75" top="1" bottom="1" header="0.5" footer="0.5"/>
  <pageSetup fitToHeight="1" fitToWidth="1" horizontalDpi="600" verticalDpi="600" orientation="portrait" scale="86" r:id="rId2"/>
  <drawing r:id="rId1"/>
</worksheet>
</file>

<file path=xl/worksheets/sheet2.xml><?xml version="1.0" encoding="utf-8"?>
<worksheet xmlns="http://schemas.openxmlformats.org/spreadsheetml/2006/main" xmlns:r="http://schemas.openxmlformats.org/officeDocument/2006/relationships">
  <sheetPr codeName="Sheet2"/>
  <dimension ref="A6:G23"/>
  <sheetViews>
    <sheetView zoomScalePageLayoutView="0" workbookViewId="0" topLeftCell="A1">
      <selection activeCell="D18" sqref="D18"/>
    </sheetView>
  </sheetViews>
  <sheetFormatPr defaultColWidth="9.140625" defaultRowHeight="12.75"/>
  <sheetData>
    <row r="6" spans="1:7" ht="12.75">
      <c r="A6" s="1" t="s">
        <v>29</v>
      </c>
      <c r="B6" s="1">
        <v>5000</v>
      </c>
      <c r="C6" t="s">
        <v>30</v>
      </c>
      <c r="E6" s="1" t="s">
        <v>33</v>
      </c>
      <c r="F6" s="1">
        <v>1000</v>
      </c>
      <c r="G6" t="s">
        <v>30</v>
      </c>
    </row>
    <row r="7" spans="1:7" ht="12.75">
      <c r="A7" s="6" t="s">
        <v>31</v>
      </c>
      <c r="B7" s="8">
        <f>Qair1/(0.075*SpVol1)</f>
        <v>4699.241008745458</v>
      </c>
      <c r="C7" t="s">
        <v>32</v>
      </c>
      <c r="E7" s="6" t="s">
        <v>34</v>
      </c>
      <c r="F7" s="8">
        <f>Qair2/(0.075*SpVol2)</f>
        <v>989.669298120006</v>
      </c>
      <c r="G7" t="s">
        <v>32</v>
      </c>
    </row>
    <row r="9" spans="2:6" ht="12.75">
      <c r="B9" s="11" t="s">
        <v>122</v>
      </c>
      <c r="F9" s="11" t="s">
        <v>123</v>
      </c>
    </row>
    <row r="10" spans="1:7" ht="12.75">
      <c r="A10" t="s">
        <v>35</v>
      </c>
      <c r="B10" s="7">
        <f>Qair1*60/SpVol1</f>
        <v>21146.584539354564</v>
      </c>
      <c r="C10" t="s">
        <v>37</v>
      </c>
      <c r="E10" t="s">
        <v>36</v>
      </c>
      <c r="F10" s="7">
        <f>Qair2*60/SpVol2</f>
        <v>4453.5118415400275</v>
      </c>
      <c r="G10" t="s">
        <v>37</v>
      </c>
    </row>
    <row r="12" spans="4:5" ht="12.75">
      <c r="D12" s="11" t="s">
        <v>124</v>
      </c>
      <c r="E12" t="s">
        <v>125</v>
      </c>
    </row>
    <row r="13" spans="3:5" ht="12.75">
      <c r="C13" t="s">
        <v>38</v>
      </c>
      <c r="D13" s="8">
        <f>mflow1+mflow2</f>
        <v>25600.096380894593</v>
      </c>
      <c r="E13" t="s">
        <v>37</v>
      </c>
    </row>
    <row r="14" spans="3:5" ht="12.75">
      <c r="C14" t="s">
        <v>121</v>
      </c>
      <c r="D14" s="24">
        <f>mflow3*SpVol3/60</f>
        <v>5999.83029471992</v>
      </c>
      <c r="E14" t="s">
        <v>30</v>
      </c>
    </row>
    <row r="15" spans="3:6" ht="12.75">
      <c r="C15" t="s">
        <v>41</v>
      </c>
      <c r="D15" s="3">
        <f>Tdb2-(Tdb2-Tdb1)*(mflow1/mflow3)</f>
        <v>75.65088371614131</v>
      </c>
      <c r="E15" t="s">
        <v>1</v>
      </c>
      <c r="F15" s="22"/>
    </row>
    <row r="16" spans="3:5" ht="12.75">
      <c r="C16" t="s">
        <v>39</v>
      </c>
      <c r="D16" s="2">
        <f>HRatio2-(HRatio2-HRatio1)*(mflow1/mflow3)</f>
        <v>0.011049669399331944</v>
      </c>
      <c r="E16" t="s">
        <v>3</v>
      </c>
    </row>
    <row r="17" spans="4:5" ht="12.75">
      <c r="D17" s="3">
        <f>HRatio3*7000</f>
        <v>77.34768579532361</v>
      </c>
      <c r="E17" t="s">
        <v>12</v>
      </c>
    </row>
    <row r="18" spans="3:5" ht="12.75">
      <c r="C18" t="s">
        <v>42</v>
      </c>
      <c r="D18" s="3">
        <f>Twbfind(Tdb3,HRatio3,Elevation)</f>
        <v>65.05088371615483</v>
      </c>
      <c r="E18" t="s">
        <v>1</v>
      </c>
    </row>
    <row r="19" spans="3:5" ht="12.75">
      <c r="C19" t="s">
        <v>40</v>
      </c>
      <c r="D19" s="3">
        <f>RelHum(Tdb3,Twb3,Elevation)</f>
        <v>57.28318937093109</v>
      </c>
      <c r="E19" t="s">
        <v>8</v>
      </c>
    </row>
    <row r="20" spans="3:5" ht="12.75">
      <c r="C20" t="s">
        <v>43</v>
      </c>
      <c r="D20" s="4">
        <f>0.24+HRatio3*0.444</f>
        <v>0.2449060532133034</v>
      </c>
      <c r="E20" t="s">
        <v>9</v>
      </c>
    </row>
    <row r="21" spans="3:5" ht="12.75">
      <c r="C21" t="s">
        <v>44</v>
      </c>
      <c r="D21" s="3">
        <f>0.24*Tdb3+HRatio3*(1061+0.444*Tdb3)</f>
        <v>30.25105858570992</v>
      </c>
      <c r="E21" t="s">
        <v>10</v>
      </c>
    </row>
    <row r="22" spans="3:5" ht="12.75">
      <c r="C22" t="s">
        <v>45</v>
      </c>
      <c r="D22" s="5">
        <f>0.7543*(Tdb3+459.67)*(1+1.6078*HRatio3)/APinHg</f>
        <v>14.062049311339951</v>
      </c>
      <c r="E22" t="s">
        <v>11</v>
      </c>
    </row>
    <row r="23" spans="3:5" ht="12.75">
      <c r="C23" t="s">
        <v>46</v>
      </c>
      <c r="D23" s="3">
        <f>DewPoint(AtmPress,HRatio3)</f>
        <v>59.414549759643656</v>
      </c>
      <c r="E23" t="s">
        <v>1</v>
      </c>
    </row>
  </sheetData>
  <sheetProtection/>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4"/>
  <dimension ref="A5:L24"/>
  <sheetViews>
    <sheetView zoomScalePageLayoutView="0" workbookViewId="0" topLeftCell="A1">
      <selection activeCell="B8" sqref="B8"/>
    </sheetView>
  </sheetViews>
  <sheetFormatPr defaultColWidth="9.140625" defaultRowHeight="12.75"/>
  <cols>
    <col min="1" max="1" width="10.28125" style="0" customWidth="1"/>
    <col min="4" max="4" width="11.140625" style="0" customWidth="1"/>
    <col min="5" max="5" width="11.57421875" style="0" customWidth="1"/>
    <col min="7" max="7" width="10.57421875" style="0" customWidth="1"/>
    <col min="8" max="8" width="10.421875" style="0" customWidth="1"/>
  </cols>
  <sheetData>
    <row r="5" spans="1:5" ht="12.75">
      <c r="A5" s="14" t="s">
        <v>76</v>
      </c>
      <c r="B5" s="11" t="s">
        <v>77</v>
      </c>
      <c r="E5" s="11" t="s">
        <v>98</v>
      </c>
    </row>
    <row r="6" spans="1:6" ht="12.75">
      <c r="A6" s="1" t="s">
        <v>78</v>
      </c>
      <c r="B6" s="1">
        <v>70</v>
      </c>
      <c r="C6" t="s">
        <v>8</v>
      </c>
      <c r="E6" t="s">
        <v>96</v>
      </c>
      <c r="F6" s="1">
        <v>75</v>
      </c>
    </row>
    <row r="7" spans="1:7" ht="12.75">
      <c r="A7" s="1" t="s">
        <v>79</v>
      </c>
      <c r="B7" s="1">
        <v>65</v>
      </c>
      <c r="C7" t="s">
        <v>8</v>
      </c>
      <c r="E7" t="s">
        <v>97</v>
      </c>
      <c r="F7" s="1">
        <v>63</v>
      </c>
      <c r="G7" t="s">
        <v>1</v>
      </c>
    </row>
    <row r="8" spans="2:7" ht="12.75">
      <c r="B8" s="9" t="s">
        <v>75</v>
      </c>
      <c r="E8" s="11" t="s">
        <v>99</v>
      </c>
      <c r="G8" t="s">
        <v>1</v>
      </c>
    </row>
    <row r="9" spans="1:6" ht="12.75">
      <c r="A9" s="1" t="s">
        <v>107</v>
      </c>
      <c r="B9" s="1">
        <v>10000</v>
      </c>
      <c r="C9" t="s">
        <v>30</v>
      </c>
      <c r="E9" t="s">
        <v>89</v>
      </c>
      <c r="F9" s="1">
        <v>96</v>
      </c>
    </row>
    <row r="10" spans="1:7" ht="12.75">
      <c r="A10" s="6" t="s">
        <v>108</v>
      </c>
      <c r="B10" s="8">
        <f>QairOut/(0.075*SpVolOut)</f>
        <v>9088.028840370014</v>
      </c>
      <c r="C10" t="s">
        <v>32</v>
      </c>
      <c r="E10" t="s">
        <v>90</v>
      </c>
      <c r="F10" s="1">
        <v>75</v>
      </c>
      <c r="G10" t="s">
        <v>1</v>
      </c>
    </row>
    <row r="11" spans="1:7" ht="12.75">
      <c r="A11" s="25" t="s">
        <v>109</v>
      </c>
      <c r="B11" s="24">
        <f>QairOut*60/SpVolOut</f>
        <v>40896.12978166506</v>
      </c>
      <c r="C11" t="s">
        <v>37</v>
      </c>
      <c r="E11" t="s">
        <v>116</v>
      </c>
      <c r="F11" s="1">
        <v>600</v>
      </c>
      <c r="G11" t="s">
        <v>2</v>
      </c>
    </row>
    <row r="12" spans="1:12" ht="12.75">
      <c r="A12" s="1" t="s">
        <v>126</v>
      </c>
      <c r="B12" s="1">
        <v>0</v>
      </c>
      <c r="C12" t="s">
        <v>127</v>
      </c>
      <c r="G12" s="11" t="s">
        <v>118</v>
      </c>
      <c r="K12" s="35" t="s">
        <v>129</v>
      </c>
      <c r="L12" s="35"/>
    </row>
    <row r="13" spans="1:12" ht="12.75">
      <c r="A13" s="1" t="s">
        <v>128</v>
      </c>
      <c r="B13" s="1">
        <v>0</v>
      </c>
      <c r="C13" t="s">
        <v>127</v>
      </c>
      <c r="D13" t="s">
        <v>119</v>
      </c>
      <c r="E13" s="34" t="s">
        <v>74</v>
      </c>
      <c r="F13" s="34" t="s">
        <v>225</v>
      </c>
      <c r="H13" t="s">
        <v>120</v>
      </c>
      <c r="K13" s="34" t="s">
        <v>74</v>
      </c>
      <c r="L13" s="34" t="s">
        <v>225</v>
      </c>
    </row>
    <row r="14" spans="2:12" ht="12.75">
      <c r="B14" s="9" t="s">
        <v>88</v>
      </c>
      <c r="C14" s="10" t="s">
        <v>112</v>
      </c>
      <c r="D14" s="15" t="s">
        <v>113</v>
      </c>
      <c r="E14" s="20">
        <f>-mflowOut*(EnalHru-EnalOut)/1000</f>
        <v>278.1604132766</v>
      </c>
      <c r="F14" s="33">
        <f>E14/12</f>
        <v>23.180034439716668</v>
      </c>
      <c r="G14" t="s">
        <v>86</v>
      </c>
      <c r="H14" s="3">
        <f>TdbOut-(SenEff/100)*(TdbOut-TdbRm)+(3412*SupFankW*SpVolOut/(QairOut*60*SpHtOut))</f>
        <v>81.3</v>
      </c>
      <c r="I14" t="s">
        <v>1</v>
      </c>
      <c r="J14" t="s">
        <v>223</v>
      </c>
      <c r="K14" s="20">
        <f>-mflowOut*(EnalRm-EnalOut)/1000</f>
        <v>411.1546381644831</v>
      </c>
      <c r="L14" s="33">
        <f>K14/12</f>
        <v>34.262886513706924</v>
      </c>
    </row>
    <row r="15" spans="1:12" ht="12.75">
      <c r="A15" s="12" t="s">
        <v>110</v>
      </c>
      <c r="B15" s="12">
        <v>2000</v>
      </c>
      <c r="C15" t="s">
        <v>30</v>
      </c>
      <c r="D15" s="17" t="s">
        <v>114</v>
      </c>
      <c r="E15" s="20">
        <f>-mflowOut*SpHtOut*(TdbHru-TdbOut)/1000</f>
        <v>148.095937123469</v>
      </c>
      <c r="F15" s="33">
        <f>E15/12</f>
        <v>12.341328093622417</v>
      </c>
      <c r="G15" t="s">
        <v>87</v>
      </c>
      <c r="H15" s="3">
        <f>Twbfind(TdbHru,HRatioHru,Elevation)</f>
        <v>67.30000000001274</v>
      </c>
      <c r="I15" t="s">
        <v>1</v>
      </c>
      <c r="J15" t="s">
        <v>224</v>
      </c>
      <c r="K15" s="20">
        <f>-mflowOut*SpHtOut*(TdbRm-TdbOut)/1000</f>
        <v>211.56562446209855</v>
      </c>
      <c r="L15" s="33">
        <f>K15/12</f>
        <v>17.63046870517488</v>
      </c>
    </row>
    <row r="16" spans="1:6" ht="12.75">
      <c r="A16" s="12" t="s">
        <v>111</v>
      </c>
      <c r="B16" s="13">
        <f>QairEx/(0.075*SpVol2)</f>
        <v>1979.338596240012</v>
      </c>
      <c r="C16" t="s">
        <v>32</v>
      </c>
      <c r="D16" s="18" t="s">
        <v>115</v>
      </c>
      <c r="E16" s="21">
        <f>qSenHru/qTotalHru</f>
        <v>0.5324119826360908</v>
      </c>
      <c r="F16" s="19"/>
    </row>
    <row r="17" spans="2:8" ht="12.75">
      <c r="B17" s="11" t="s">
        <v>98</v>
      </c>
      <c r="E17" s="11" t="s">
        <v>99</v>
      </c>
      <c r="H17" s="11" t="s">
        <v>118</v>
      </c>
    </row>
    <row r="18" spans="1:9" ht="12.75">
      <c r="A18" t="s">
        <v>91</v>
      </c>
      <c r="B18" s="2">
        <f>HumRat(TdbRm,TwbRm,Elevation)</f>
        <v>0.00983051819171829</v>
      </c>
      <c r="C18" t="s">
        <v>3</v>
      </c>
      <c r="D18" t="s">
        <v>101</v>
      </c>
      <c r="E18" s="2">
        <f>HumRat(TdbOut,TwbOut,Elevation)</f>
        <v>0.01429034529474394</v>
      </c>
      <c r="F18" t="s">
        <v>3</v>
      </c>
      <c r="G18" t="s">
        <v>80</v>
      </c>
      <c r="H18" s="2">
        <f>HRatioOut-(LatEff/100)*(HRatioOut-HRatioRm)</f>
        <v>0.011391457677777267</v>
      </c>
      <c r="I18" t="s">
        <v>3</v>
      </c>
    </row>
    <row r="19" spans="2:9" ht="12.75">
      <c r="B19" s="3">
        <f>HRatioRm*7000</f>
        <v>68.81362734202803</v>
      </c>
      <c r="C19" t="s">
        <v>12</v>
      </c>
      <c r="E19" s="3">
        <f>HRatioOut*7000</f>
        <v>100.03241706320759</v>
      </c>
      <c r="F19" t="s">
        <v>12</v>
      </c>
      <c r="H19" s="3">
        <f>HRatioHru*7000</f>
        <v>79.74020374444088</v>
      </c>
      <c r="I19" t="s">
        <v>12</v>
      </c>
    </row>
    <row r="20" spans="1:9" ht="12.75">
      <c r="A20" t="s">
        <v>92</v>
      </c>
      <c r="B20" s="3">
        <f>RelHum(TdbRm,TwbRm,Elevation)</f>
        <v>51.930641935914444</v>
      </c>
      <c r="C20" t="s">
        <v>8</v>
      </c>
      <c r="D20" t="s">
        <v>102</v>
      </c>
      <c r="E20" s="3">
        <f>RelHum(TdbOut,TwbOut,Elevation)</f>
        <v>38.30369631577553</v>
      </c>
      <c r="F20" t="s">
        <v>8</v>
      </c>
      <c r="G20" t="s">
        <v>81</v>
      </c>
      <c r="H20" s="3">
        <f>RelHum(TdbHru,TwbHru,Elevation)</f>
        <v>48.961872713835724</v>
      </c>
      <c r="I20" t="s">
        <v>8</v>
      </c>
    </row>
    <row r="21" spans="1:9" ht="12.75">
      <c r="A21" t="s">
        <v>93</v>
      </c>
      <c r="B21" s="4">
        <f>0.24+HRatioRm*0.444</f>
        <v>0.2443647500771229</v>
      </c>
      <c r="C21" t="s">
        <v>9</v>
      </c>
      <c r="D21" t="s">
        <v>103</v>
      </c>
      <c r="E21" s="4">
        <f>0.24+HRatioOut*0.444</f>
        <v>0.2463449133108663</v>
      </c>
      <c r="F21" t="s">
        <v>9</v>
      </c>
      <c r="G21" t="s">
        <v>82</v>
      </c>
      <c r="H21" s="4">
        <f>0.24+HRatioHru*0.444</f>
        <v>0.2450578072089331</v>
      </c>
      <c r="I21" t="s">
        <v>9</v>
      </c>
    </row>
    <row r="22" spans="1:9" ht="12.75">
      <c r="A22" t="s">
        <v>100</v>
      </c>
      <c r="B22" s="3">
        <f>0.24*TdbRm+HRatioRm*(1061+0.444*TdbRm)</f>
        <v>28.757536057197324</v>
      </c>
      <c r="C22" t="s">
        <v>10</v>
      </c>
      <c r="D22" t="s">
        <v>104</v>
      </c>
      <c r="E22" s="3">
        <f>0.24*TdbOut+HRatioOut*(1061+0.444*TdbOut)</f>
        <v>38.81116803556648</v>
      </c>
      <c r="F22" t="s">
        <v>10</v>
      </c>
      <c r="G22" t="s">
        <v>83</v>
      </c>
      <c r="H22" s="3">
        <f>0.24*TdbHru+HRatioHru*(1061+0.444*TdbHru)</f>
        <v>32.009536322207936</v>
      </c>
      <c r="I22" t="s">
        <v>10</v>
      </c>
    </row>
    <row r="23" spans="1:9" ht="12.75">
      <c r="A23" t="s">
        <v>94</v>
      </c>
      <c r="B23" s="5">
        <f>0.7543*(TdbRm+459.67)*(1+1.6078*HRatioRm)/APinHg</f>
        <v>14.017901930640042</v>
      </c>
      <c r="C23" t="s">
        <v>11</v>
      </c>
      <c r="D23" t="s">
        <v>105</v>
      </c>
      <c r="E23" s="5">
        <f>0.7543*(TdbOut+459.67)*(1+1.6078*HRatioOut)/APinHg</f>
        <v>14.671314943571938</v>
      </c>
      <c r="F23" t="s">
        <v>11</v>
      </c>
      <c r="G23" t="s">
        <v>84</v>
      </c>
      <c r="H23" s="5">
        <f>0.7543*(TdbHru+459.67)*(1+1.6078*HRatioHru)/APinHg</f>
        <v>14.218115548075545</v>
      </c>
      <c r="I23" t="s">
        <v>11</v>
      </c>
    </row>
    <row r="24" spans="1:9" ht="12.75">
      <c r="A24" t="s">
        <v>95</v>
      </c>
      <c r="B24" s="3">
        <f>DewPoint(AtmPress,HRatioRm)</f>
        <v>56.22361574284012</v>
      </c>
      <c r="C24" t="s">
        <v>1</v>
      </c>
      <c r="D24" t="s">
        <v>106</v>
      </c>
      <c r="E24" s="3">
        <f>DewPoint(AtmPress,HRatioOut)</f>
        <v>66.56297763641987</v>
      </c>
      <c r="F24" t="s">
        <v>1</v>
      </c>
      <c r="G24" t="s">
        <v>85</v>
      </c>
      <c r="H24" s="3">
        <f>DewPoint(AtmPress,HRatioHru)</f>
        <v>60.25197605180883</v>
      </c>
      <c r="I24" t="s">
        <v>1</v>
      </c>
    </row>
  </sheetData>
  <sheetProtection/>
  <mergeCells count="1">
    <mergeCell ref="K12:L1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dimension ref="A1:K21"/>
  <sheetViews>
    <sheetView zoomScalePageLayoutView="0" workbookViewId="0" topLeftCell="A1">
      <selection activeCell="D21" sqref="D21"/>
    </sheetView>
  </sheetViews>
  <sheetFormatPr defaultColWidth="9.140625" defaultRowHeight="12.75"/>
  <cols>
    <col min="1" max="1" width="10.140625" style="0" customWidth="1"/>
    <col min="2" max="2" width="11.421875" style="0" customWidth="1"/>
    <col min="5" max="5" width="11.421875" style="0" customWidth="1"/>
    <col min="6" max="6" width="12.8515625" style="0" customWidth="1"/>
    <col min="7" max="7" width="7.7109375" style="0" customWidth="1"/>
    <col min="9" max="9" width="11.57421875" style="0" customWidth="1"/>
    <col min="11" max="11" width="9.8515625" style="0" customWidth="1"/>
  </cols>
  <sheetData>
    <row r="1" spans="1:10" ht="12.75">
      <c r="A1" s="14" t="s">
        <v>172</v>
      </c>
      <c r="B1" s="11" t="s">
        <v>173</v>
      </c>
      <c r="E1" s="14" t="s">
        <v>174</v>
      </c>
      <c r="F1" s="11" t="s">
        <v>173</v>
      </c>
      <c r="I1" s="14" t="s">
        <v>174</v>
      </c>
      <c r="J1" s="11" t="s">
        <v>173</v>
      </c>
    </row>
    <row r="2" spans="5:11" ht="14.25" customHeight="1">
      <c r="E2" s="14" t="s">
        <v>160</v>
      </c>
      <c r="F2" s="11" t="s">
        <v>146</v>
      </c>
      <c r="I2" s="14" t="s">
        <v>155</v>
      </c>
      <c r="J2" s="11" t="s">
        <v>178</v>
      </c>
      <c r="K2" s="11"/>
    </row>
    <row r="3" spans="1:11" ht="12.75">
      <c r="A3" s="12" t="s">
        <v>134</v>
      </c>
      <c r="B3" s="1">
        <v>2000</v>
      </c>
      <c r="C3" t="s">
        <v>30</v>
      </c>
      <c r="I3" t="s">
        <v>161</v>
      </c>
      <c r="J3" s="1">
        <v>20</v>
      </c>
      <c r="K3" t="s">
        <v>1</v>
      </c>
    </row>
    <row r="4" spans="1:11" ht="12.75">
      <c r="A4" s="12" t="s">
        <v>136</v>
      </c>
      <c r="B4" s="1">
        <v>75</v>
      </c>
      <c r="C4" t="s">
        <v>74</v>
      </c>
      <c r="I4" t="s">
        <v>162</v>
      </c>
      <c r="J4" s="1">
        <v>15</v>
      </c>
      <c r="K4" t="s">
        <v>1</v>
      </c>
    </row>
    <row r="5" spans="1:11" ht="12.75">
      <c r="A5" s="12" t="s">
        <v>144</v>
      </c>
      <c r="B5" s="8">
        <f>QairHin/(0.075*SpVolHin)</f>
        <v>1983.0097534916401</v>
      </c>
      <c r="C5" t="s">
        <v>32</v>
      </c>
      <c r="H5" s="10"/>
      <c r="I5" t="s">
        <v>158</v>
      </c>
      <c r="J5" s="1">
        <v>20</v>
      </c>
      <c r="K5" t="s">
        <v>156</v>
      </c>
    </row>
    <row r="6" spans="1:11" ht="12.75">
      <c r="A6" s="28" t="s">
        <v>145</v>
      </c>
      <c r="B6" s="8">
        <f>QairHin*60/SpVolHin</f>
        <v>8923.54389071238</v>
      </c>
      <c r="C6" t="s">
        <v>37</v>
      </c>
      <c r="E6" t="s">
        <v>153</v>
      </c>
      <c r="F6" s="3">
        <f>TdbHin+(qFurn*1000*SpVolHin)/(60*SpHtHin*QairHin)</f>
        <v>102.5849952388125</v>
      </c>
      <c r="G6" t="s">
        <v>1</v>
      </c>
      <c r="I6" t="s">
        <v>163</v>
      </c>
      <c r="J6" s="2">
        <f>HumRat(TdbOutAir,TwbOutAir,ElevH)</f>
        <v>0.0007353510091100149</v>
      </c>
      <c r="K6" t="s">
        <v>3</v>
      </c>
    </row>
    <row r="7" spans="5:11" ht="12.75">
      <c r="E7" t="s">
        <v>154</v>
      </c>
      <c r="F7" s="3">
        <f>Twbfind(TdbHout,HRatioHout,ElevH)</f>
        <v>68.18499523882059</v>
      </c>
      <c r="G7" t="s">
        <v>1</v>
      </c>
      <c r="J7" s="3">
        <f>HRatioOA*7000</f>
        <v>5.147457063770104</v>
      </c>
      <c r="K7" t="s">
        <v>12</v>
      </c>
    </row>
    <row r="8" spans="1:11" ht="12.75">
      <c r="A8" t="s">
        <v>131</v>
      </c>
      <c r="B8" s="1">
        <v>68</v>
      </c>
      <c r="C8" t="s">
        <v>1</v>
      </c>
      <c r="I8" t="s">
        <v>164</v>
      </c>
      <c r="J8" s="3">
        <f>RelHum(TdbOutAir,TwbOutAir,ElevH)</f>
        <v>32.20887204750426</v>
      </c>
      <c r="K8" t="s">
        <v>8</v>
      </c>
    </row>
    <row r="9" spans="1:11" ht="12.75">
      <c r="A9" t="s">
        <v>132</v>
      </c>
      <c r="B9" s="1">
        <v>56</v>
      </c>
      <c r="C9" t="s">
        <v>1</v>
      </c>
      <c r="I9" t="s">
        <v>165</v>
      </c>
      <c r="J9" s="4">
        <f>0.24+HRatioOA*0.444</f>
        <v>0.24032649584804483</v>
      </c>
      <c r="K9" t="s">
        <v>9</v>
      </c>
    </row>
    <row r="10" spans="1:11" ht="12.75">
      <c r="A10" t="s">
        <v>133</v>
      </c>
      <c r="B10" s="1">
        <v>0</v>
      </c>
      <c r="C10" t="s">
        <v>2</v>
      </c>
      <c r="D10" s="23"/>
      <c r="E10" t="s">
        <v>147</v>
      </c>
      <c r="F10" s="2">
        <f>HRatioHin</f>
        <v>0.006794444911348519</v>
      </c>
      <c r="G10" t="s">
        <v>3</v>
      </c>
      <c r="I10" t="s">
        <v>166</v>
      </c>
      <c r="J10" s="3">
        <f>0.24*TdbOutAir+HRatioOA*(1061+0.444*TdbOutAir)</f>
        <v>5.586737337626623</v>
      </c>
      <c r="K10" t="s">
        <v>10</v>
      </c>
    </row>
    <row r="11" spans="1:11" ht="12.75">
      <c r="A11" t="s">
        <v>137</v>
      </c>
      <c r="B11" s="5">
        <f>14.696*(1-0.0000068753*ElevH)^5.2559</f>
        <v>14.696</v>
      </c>
      <c r="C11" t="s">
        <v>5</v>
      </c>
      <c r="D11" s="23"/>
      <c r="F11" s="3">
        <f>HRatioHout*7000</f>
        <v>47.56111437943964</v>
      </c>
      <c r="G11" t="s">
        <v>12</v>
      </c>
      <c r="I11" t="s">
        <v>167</v>
      </c>
      <c r="J11" s="5">
        <f>0.7543*(TdbOutAir+459.67)*(1+1.6078*HRatioOA)/APHg</f>
        <v>12.106501042929608</v>
      </c>
      <c r="K11" t="s">
        <v>11</v>
      </c>
    </row>
    <row r="12" spans="1:11" ht="12.75">
      <c r="A12" t="s">
        <v>135</v>
      </c>
      <c r="B12" s="5">
        <f>APpsia*2.03602</f>
        <v>29.92134992</v>
      </c>
      <c r="C12" t="s">
        <v>7</v>
      </c>
      <c r="D12" s="23"/>
      <c r="E12" t="s">
        <v>148</v>
      </c>
      <c r="F12" s="3">
        <f>RelHum(TdbHout,TwbHout,ElevH)</f>
        <v>15.630222014802358</v>
      </c>
      <c r="G12" t="s">
        <v>8</v>
      </c>
      <c r="I12" t="s">
        <v>168</v>
      </c>
      <c r="J12" s="3">
        <f>DewPoint(APpsia,HRatioOA)</f>
        <v>-6.8362798272407135</v>
      </c>
      <c r="K12" t="s">
        <v>1</v>
      </c>
    </row>
    <row r="13" spans="5:7" ht="12.75">
      <c r="E13" t="s">
        <v>149</v>
      </c>
      <c r="F13" s="4">
        <f>0.24+HRatioHout*0.444</f>
        <v>0.24301673354063874</v>
      </c>
      <c r="G13" t="s">
        <v>9</v>
      </c>
    </row>
    <row r="14" spans="5:10" ht="12.75">
      <c r="E14" t="s">
        <v>150</v>
      </c>
      <c r="F14" s="3">
        <f>0.24*TdbHout+HRatioHout*(1061+0.444*TdbHout)</f>
        <v>32.13877650415897</v>
      </c>
      <c r="G14" t="s">
        <v>10</v>
      </c>
      <c r="I14" t="s">
        <v>157</v>
      </c>
      <c r="J14" s="1" t="s">
        <v>175</v>
      </c>
    </row>
    <row r="15" spans="1:11" ht="12.75">
      <c r="A15" t="s">
        <v>138</v>
      </c>
      <c r="B15" s="2">
        <f>HumRat(TdbHin,TwbHin,ElevH)</f>
        <v>0.006794444911348519</v>
      </c>
      <c r="C15" t="s">
        <v>3</v>
      </c>
      <c r="E15" t="s">
        <v>151</v>
      </c>
      <c r="F15" s="5">
        <f>0.7543*(TdbHout+459.67)*(1+1.6078*HRatioHout)/APHg</f>
        <v>14.328964307264894</v>
      </c>
      <c r="G15" t="s">
        <v>11</v>
      </c>
      <c r="I15" t="s">
        <v>159</v>
      </c>
      <c r="J15" s="1">
        <v>212</v>
      </c>
      <c r="K15" t="s">
        <v>1</v>
      </c>
    </row>
    <row r="16" spans="2:11" ht="12.75">
      <c r="B16" s="3">
        <f>HRatioHin*7000</f>
        <v>47.56111437943964</v>
      </c>
      <c r="C16" t="s">
        <v>12</v>
      </c>
      <c r="E16" t="s">
        <v>152</v>
      </c>
      <c r="F16" s="3">
        <f>DewPoint(APpsia,HRatioHout)</f>
        <v>46.99738267567571</v>
      </c>
      <c r="G16" t="s">
        <v>1</v>
      </c>
      <c r="I16" t="s">
        <v>170</v>
      </c>
      <c r="J16" s="24">
        <f>IF(FluidType="Water",(FluidTemp-32),(1061+0.42*FluidTemp))</f>
        <v>1150.04</v>
      </c>
      <c r="K16" t="s">
        <v>10</v>
      </c>
    </row>
    <row r="17" spans="1:11" ht="12.75">
      <c r="A17" t="s">
        <v>139</v>
      </c>
      <c r="B17" s="3">
        <f>RelHum(TdbHin,TwbHin,ElevH)</f>
        <v>46.81511508052734</v>
      </c>
      <c r="C17" t="s">
        <v>8</v>
      </c>
      <c r="I17" t="s">
        <v>176</v>
      </c>
      <c r="J17" s="27">
        <f>(OAVentInfil/100)*mflowHin*(HRatioHin-HRatioOA)</f>
        <v>10.81371807491461</v>
      </c>
      <c r="K17" t="s">
        <v>37</v>
      </c>
    </row>
    <row r="18" spans="1:11" ht="12.75">
      <c r="A18" t="s">
        <v>140</v>
      </c>
      <c r="B18" s="4">
        <f>0.24+HRatioHin*0.444</f>
        <v>0.24301673354063874</v>
      </c>
      <c r="C18" t="s">
        <v>9</v>
      </c>
      <c r="I18" t="s">
        <v>169</v>
      </c>
      <c r="J18" s="20">
        <f>mfluid*(EnalFluid-(1061+0.444*TdbHout))/1000</f>
        <v>0.47031306094073067</v>
      </c>
      <c r="K18" t="s">
        <v>74</v>
      </c>
    </row>
    <row r="19" spans="1:11" ht="12.75">
      <c r="A19" t="s">
        <v>141</v>
      </c>
      <c r="B19" s="3">
        <f>0.24*TdbHin+HRatioHin*(1061+0.444*TdbHin)</f>
        <v>23.734043931704214</v>
      </c>
      <c r="C19" t="s">
        <v>10</v>
      </c>
      <c r="I19" t="s">
        <v>171</v>
      </c>
      <c r="J19" s="27">
        <f>TdbHout+(1000*qHumid/(mflowHin*SpHtHin))</f>
        <v>102.80187223845765</v>
      </c>
      <c r="K19" t="s">
        <v>1</v>
      </c>
    </row>
    <row r="20" spans="1:11" ht="12.75">
      <c r="A20" t="s">
        <v>142</v>
      </c>
      <c r="B20" s="5">
        <f>0.7543*(TdbHin+459.67)*(1+1.6078*HRatioHin)/APHg</f>
        <v>13.447572115927612</v>
      </c>
      <c r="C20" t="s">
        <v>11</v>
      </c>
      <c r="I20" t="s">
        <v>177</v>
      </c>
      <c r="J20" s="20">
        <f>qFurn+qHumid</f>
        <v>75.47031306094073</v>
      </c>
      <c r="K20" t="s">
        <v>74</v>
      </c>
    </row>
    <row r="21" spans="1:3" ht="12.75">
      <c r="A21" t="s">
        <v>143</v>
      </c>
      <c r="B21" s="3">
        <f>DewPoint(APpsia,HRatioHin)</f>
        <v>46.99738267567571</v>
      </c>
      <c r="C21" t="s">
        <v>1</v>
      </c>
    </row>
  </sheetData>
  <sheetProtection/>
  <dataValidations count="1">
    <dataValidation type="list" allowBlank="1" showInputMessage="1" showErrorMessage="1" sqref="J14">
      <formula1>"Water,Sat Steam"</formula1>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2:J21"/>
  <sheetViews>
    <sheetView zoomScalePageLayoutView="0" workbookViewId="0" topLeftCell="A1">
      <selection activeCell="J4" sqref="J4"/>
    </sheetView>
  </sheetViews>
  <sheetFormatPr defaultColWidth="9.140625" defaultRowHeight="12.75"/>
  <cols>
    <col min="2" max="2" width="9.57421875" style="0" customWidth="1"/>
    <col min="5" max="5" width="9.8515625" style="0" customWidth="1"/>
    <col min="8" max="8" width="9.57421875" style="0" customWidth="1"/>
    <col min="10" max="10" width="10.7109375" style="0" customWidth="1"/>
  </cols>
  <sheetData>
    <row r="2" spans="1:9" ht="12.75">
      <c r="A2" s="31" t="s">
        <v>209</v>
      </c>
      <c r="B2" s="32" t="s">
        <v>173</v>
      </c>
      <c r="E2" s="31" t="s">
        <v>207</v>
      </c>
      <c r="F2" s="32" t="s">
        <v>208</v>
      </c>
      <c r="H2" s="31" t="s">
        <v>198</v>
      </c>
      <c r="I2" s="32" t="s">
        <v>199</v>
      </c>
    </row>
    <row r="3" spans="1:10" ht="12.75">
      <c r="A3" s="12" t="s">
        <v>195</v>
      </c>
      <c r="B3" s="1">
        <v>10000</v>
      </c>
      <c r="C3" t="s">
        <v>30</v>
      </c>
      <c r="H3" t="s">
        <v>200</v>
      </c>
      <c r="I3" s="30">
        <v>2</v>
      </c>
      <c r="J3" t="s">
        <v>201</v>
      </c>
    </row>
    <row r="4" spans="1:10" ht="12.75">
      <c r="A4" s="12" t="s">
        <v>179</v>
      </c>
      <c r="B4" s="1">
        <v>120</v>
      </c>
      <c r="C4" t="s">
        <v>74</v>
      </c>
      <c r="H4" t="s">
        <v>202</v>
      </c>
      <c r="I4" s="1">
        <v>65</v>
      </c>
      <c r="J4" t="s">
        <v>8</v>
      </c>
    </row>
    <row r="5" spans="1:10" ht="12.75">
      <c r="A5" s="12" t="s">
        <v>180</v>
      </c>
      <c r="B5" s="1">
        <v>100</v>
      </c>
      <c r="C5" t="s">
        <v>74</v>
      </c>
      <c r="H5" t="s">
        <v>203</v>
      </c>
      <c r="I5" s="1">
        <v>82</v>
      </c>
      <c r="J5" t="s">
        <v>8</v>
      </c>
    </row>
    <row r="6" spans="1:10" ht="12.75">
      <c r="A6" s="12" t="s">
        <v>196</v>
      </c>
      <c r="B6" s="8">
        <f>QairIn/(0.075*SpVolIn)</f>
        <v>9742.804401216375</v>
      </c>
      <c r="C6" t="s">
        <v>32</v>
      </c>
      <c r="H6" t="s">
        <v>204</v>
      </c>
      <c r="I6" s="29">
        <f>QSairIn*TotalPress/((FanEff/100)*6350)</f>
        <v>4.720922786779588</v>
      </c>
      <c r="J6" t="s">
        <v>205</v>
      </c>
    </row>
    <row r="7" spans="1:9" ht="12.75">
      <c r="A7" s="12" t="s">
        <v>218</v>
      </c>
      <c r="B7" s="29">
        <f>SC/TC</f>
        <v>0.8333333333333334</v>
      </c>
      <c r="H7" t="s">
        <v>206</v>
      </c>
      <c r="I7" s="27">
        <f>2545*BHP/(1000*MotorEff/100)</f>
        <v>14.652132307748841</v>
      </c>
    </row>
    <row r="8" spans="1:10" ht="12.75">
      <c r="A8" t="s">
        <v>181</v>
      </c>
      <c r="B8" s="30">
        <v>75</v>
      </c>
      <c r="C8" t="s">
        <v>1</v>
      </c>
      <c r="E8" t="s">
        <v>197</v>
      </c>
      <c r="F8" s="8">
        <f>QairIn*60/SpVolIn</f>
        <v>43842.61980547369</v>
      </c>
      <c r="G8" t="s">
        <v>37</v>
      </c>
      <c r="H8" t="s">
        <v>191</v>
      </c>
      <c r="I8" s="27">
        <f>TC-qFan</f>
        <v>105.34786769225116</v>
      </c>
      <c r="J8" t="s">
        <v>74</v>
      </c>
    </row>
    <row r="9" spans="1:10" ht="12.75">
      <c r="A9" t="s">
        <v>182</v>
      </c>
      <c r="B9" s="1">
        <v>63</v>
      </c>
      <c r="C9" t="s">
        <v>1</v>
      </c>
      <c r="E9" t="s">
        <v>107</v>
      </c>
      <c r="F9" s="8">
        <f>mflowIn*SpVolOut/60</f>
        <v>9818.613752528985</v>
      </c>
      <c r="G9" t="s">
        <v>30</v>
      </c>
      <c r="H9" t="s">
        <v>189</v>
      </c>
      <c r="I9" s="27">
        <f>SC-qFan</f>
        <v>85.34786769225116</v>
      </c>
      <c r="J9" t="s">
        <v>74</v>
      </c>
    </row>
    <row r="10" spans="1:9" ht="12.75">
      <c r="A10" t="s">
        <v>192</v>
      </c>
      <c r="B10" s="1">
        <v>0</v>
      </c>
      <c r="C10" t="s">
        <v>2</v>
      </c>
      <c r="D10" s="23"/>
      <c r="E10" t="s">
        <v>108</v>
      </c>
      <c r="F10" s="8">
        <f>mflowIn*(1/0.075)/60</f>
        <v>9742.804401216377</v>
      </c>
      <c r="G10" t="s">
        <v>32</v>
      </c>
      <c r="H10" t="s">
        <v>190</v>
      </c>
      <c r="I10" s="29">
        <f>qSenNet/qTotNet</f>
        <v>0.8101527782372847</v>
      </c>
    </row>
    <row r="11" spans="1:4" ht="12.75">
      <c r="A11" t="s">
        <v>193</v>
      </c>
      <c r="B11" s="5">
        <f>14.696*(1-0.0000068753*ElevIn)^5.2559</f>
        <v>14.696</v>
      </c>
      <c r="C11" t="s">
        <v>5</v>
      </c>
      <c r="D11" s="23"/>
    </row>
    <row r="12" spans="1:10" ht="12.75">
      <c r="A12" t="s">
        <v>194</v>
      </c>
      <c r="B12" s="5">
        <f>AtmPressIn*2.03602</f>
        <v>29.92134992</v>
      </c>
      <c r="C12" t="s">
        <v>7</v>
      </c>
      <c r="D12" s="23"/>
      <c r="E12" t="s">
        <v>89</v>
      </c>
      <c r="F12" s="3">
        <f>TdbIn-SC*1000/(mflowIn*SpHtIn)</f>
        <v>65.66101308225795</v>
      </c>
      <c r="G12" t="s">
        <v>1</v>
      </c>
      <c r="H12" t="s">
        <v>210</v>
      </c>
      <c r="I12" s="3">
        <f>TdbOut+qFan*1000/(mflowIn*SpHtIn)</f>
        <v>67.02937380164887</v>
      </c>
      <c r="J12" t="s">
        <v>1</v>
      </c>
    </row>
    <row r="13" spans="5:10" ht="12.75">
      <c r="E13" t="s">
        <v>90</v>
      </c>
      <c r="F13" s="3">
        <f>Twbfind(TdbOut,HRatioOut,ElevIn)</f>
        <v>59.06101308227238</v>
      </c>
      <c r="G13" t="s">
        <v>1</v>
      </c>
      <c r="H13" t="s">
        <v>211</v>
      </c>
      <c r="I13" s="3">
        <f>Twbfind(TdbNet,HRatioNet,ElevIn)</f>
        <v>59.5293738016631</v>
      </c>
      <c r="J13" t="s">
        <v>1</v>
      </c>
    </row>
    <row r="14" spans="6:9" ht="12.75">
      <c r="F14" s="2"/>
      <c r="I14" s="2"/>
    </row>
    <row r="15" spans="1:10" ht="12.75">
      <c r="A15" t="s">
        <v>183</v>
      </c>
      <c r="B15" s="2">
        <f>HumRat(TdbIn,TwbIn,ElevIn)</f>
        <v>0.009533013015218325</v>
      </c>
      <c r="C15" t="s">
        <v>3</v>
      </c>
      <c r="E15" t="s">
        <v>101</v>
      </c>
      <c r="F15" s="2">
        <f>HRatioIn-(TC-SC)*1000/(mflowIn*(1093-0.556*TdbOut))</f>
        <v>0.009101228474177592</v>
      </c>
      <c r="G15" t="s">
        <v>3</v>
      </c>
      <c r="H15" t="s">
        <v>212</v>
      </c>
      <c r="I15" s="2">
        <f>HRatioOut</f>
        <v>0.009101228474177592</v>
      </c>
      <c r="J15" t="s">
        <v>3</v>
      </c>
    </row>
    <row r="16" spans="2:10" ht="12.75">
      <c r="B16" s="3">
        <f>HRatioIn*7000</f>
        <v>66.73109110652827</v>
      </c>
      <c r="C16" t="s">
        <v>12</v>
      </c>
      <c r="F16" s="3">
        <f>HRatioOut*7000</f>
        <v>63.70859931924315</v>
      </c>
      <c r="G16" t="s">
        <v>12</v>
      </c>
      <c r="I16" s="3">
        <f>HRatioOut*7000</f>
        <v>63.70859931924315</v>
      </c>
      <c r="J16" t="s">
        <v>12</v>
      </c>
    </row>
    <row r="17" spans="1:10" ht="12.75">
      <c r="A17" t="s">
        <v>184</v>
      </c>
      <c r="B17" s="3">
        <f>RelHum(TdbIn,TwbIn,ElevIn)</f>
        <v>51.5828966402433</v>
      </c>
      <c r="C17" t="s">
        <v>8</v>
      </c>
      <c r="E17" t="s">
        <v>102</v>
      </c>
      <c r="F17" s="3">
        <f>RelHum(TdbOut,TwbOut,ElevIn)</f>
        <v>68.1186893458329</v>
      </c>
      <c r="G17" t="s">
        <v>8</v>
      </c>
      <c r="H17" t="s">
        <v>213</v>
      </c>
      <c r="I17" s="3">
        <f>RelHum(TdbNet,TwbNet,ElevIn)</f>
        <v>64.7935478369462</v>
      </c>
      <c r="J17" t="s">
        <v>8</v>
      </c>
    </row>
    <row r="18" spans="1:10" ht="12.75">
      <c r="A18" t="s">
        <v>185</v>
      </c>
      <c r="B18" s="4">
        <f>0.24+HRatioIn*0.444</f>
        <v>0.24423265777875694</v>
      </c>
      <c r="C18" t="s">
        <v>9</v>
      </c>
      <c r="E18" t="s">
        <v>103</v>
      </c>
      <c r="F18" s="4">
        <f>0.24+HRatioOut*0.444</f>
        <v>0.24404094544253485</v>
      </c>
      <c r="G18" t="s">
        <v>9</v>
      </c>
      <c r="H18" t="s">
        <v>214</v>
      </c>
      <c r="I18" s="4">
        <f>0.24+HRatioNet*0.444</f>
        <v>0.24404094544253485</v>
      </c>
      <c r="J18" t="s">
        <v>9</v>
      </c>
    </row>
    <row r="19" spans="1:10" ht="12.75">
      <c r="A19" t="s">
        <v>186</v>
      </c>
      <c r="B19" s="3">
        <f>0.24*TdbIn+HRatioIn*(1061+0.444*TdbIn)</f>
        <v>28.431976142553413</v>
      </c>
      <c r="C19" t="s">
        <v>10</v>
      </c>
      <c r="E19" t="s">
        <v>104</v>
      </c>
      <c r="F19" s="3">
        <f>0.24*TdbOut+HRatioOut*(1061+0.444*TdbOut)</f>
        <v>25.680379122411306</v>
      </c>
      <c r="G19" t="s">
        <v>10</v>
      </c>
      <c r="H19" t="s">
        <v>215</v>
      </c>
      <c r="I19" s="3">
        <f>0.24*TdbNet+HRatioNet*(1061+0.444*TdbNet)</f>
        <v>26.014315166077893</v>
      </c>
      <c r="J19" t="s">
        <v>10</v>
      </c>
    </row>
    <row r="20" spans="1:10" ht="12.75">
      <c r="A20" t="s">
        <v>187</v>
      </c>
      <c r="B20" s="5">
        <f>0.7543*(TdbIn+459.67)*(1+1.6078*HRatioIn)/APinHgIn</f>
        <v>13.685313575287097</v>
      </c>
      <c r="C20" t="s">
        <v>11</v>
      </c>
      <c r="E20" t="s">
        <v>105</v>
      </c>
      <c r="F20" s="5">
        <f>0.7543*(TdbOut+459.67)*(1+1.6078*HRatioOut)/APinHgIn</f>
        <v>13.437080807798548</v>
      </c>
      <c r="G20" t="s">
        <v>11</v>
      </c>
      <c r="H20" t="s">
        <v>216</v>
      </c>
      <c r="I20" s="5">
        <f>0.7543*(TdbNet+459.67)*(1+1.6078*HRatioNet)/APinHgIn</f>
        <v>13.472081165863825</v>
      </c>
      <c r="J20" t="s">
        <v>11</v>
      </c>
    </row>
    <row r="21" spans="1:10" ht="12.75">
      <c r="A21" t="s">
        <v>188</v>
      </c>
      <c r="B21" s="3">
        <f>DewPoint(AtmPressIn,HRatioIn)</f>
        <v>56.03845312954849</v>
      </c>
      <c r="C21" t="s">
        <v>1</v>
      </c>
      <c r="E21" t="s">
        <v>106</v>
      </c>
      <c r="F21" s="3">
        <f>DewPoint(AtmPressIn,HRatioOut)</f>
        <v>54.783649357768944</v>
      </c>
      <c r="G21" t="s">
        <v>1</v>
      </c>
      <c r="H21" t="s">
        <v>217</v>
      </c>
      <c r="I21" s="3">
        <f>DewPoint(AtmPressIn,HRatioNet)</f>
        <v>54.783649357768944</v>
      </c>
      <c r="J21" t="s">
        <v>1</v>
      </c>
    </row>
  </sheetData>
  <sheetProtection/>
  <dataValidations count="2">
    <dataValidation allowBlank="1" showInputMessage="1" showErrorMessage="1" prompt="Typical Values&#10;40-60% 0.1 to 1 hp&#10;60-70% 1 to 10 hp&#10;70-80% &gt;10 hp" sqref="I4"/>
    <dataValidation allowBlank="1" showInputMessage="1" showErrorMessage="1" prompt="Typical Values&#10;40-60% 0.1-3/4 hp&#10;80-90% 1 to 10 hp&#10;90-94% 15-100 hp" sqref="I5"/>
  </dataValidation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2:K22"/>
  <sheetViews>
    <sheetView zoomScalePageLayoutView="0" workbookViewId="0" topLeftCell="A1">
      <selection activeCell="F8" sqref="F8"/>
    </sheetView>
  </sheetViews>
  <sheetFormatPr defaultColWidth="9.140625" defaultRowHeight="12.75"/>
  <cols>
    <col min="1" max="1" width="11.7109375" style="0" customWidth="1"/>
    <col min="3" max="3" width="9.7109375" style="0" customWidth="1"/>
    <col min="4" max="4" width="10.00390625" style="0" customWidth="1"/>
    <col min="5" max="5" width="11.140625" style="0" customWidth="1"/>
    <col min="7" max="7" width="9.57421875" style="0" customWidth="1"/>
  </cols>
  <sheetData>
    <row r="2" spans="1:2" ht="12.75">
      <c r="A2" s="15" t="s">
        <v>219</v>
      </c>
      <c r="B2" s="16" t="s">
        <v>221</v>
      </c>
    </row>
    <row r="3" spans="1:2" ht="12.75">
      <c r="A3" s="18" t="s">
        <v>220</v>
      </c>
      <c r="B3" s="19"/>
    </row>
    <row r="4" spans="1:7" ht="12.75">
      <c r="A4" s="1" t="s">
        <v>66</v>
      </c>
      <c r="B4" s="1">
        <v>4000</v>
      </c>
      <c r="C4" t="s">
        <v>30</v>
      </c>
      <c r="E4" t="s">
        <v>69</v>
      </c>
      <c r="F4" s="8">
        <f>QairRet*60/SpVolRet</f>
        <v>16920.32533839222</v>
      </c>
      <c r="G4" t="s">
        <v>37</v>
      </c>
    </row>
    <row r="5" spans="1:7" ht="12.75">
      <c r="A5" s="1" t="s">
        <v>47</v>
      </c>
      <c r="B5" s="1">
        <v>47</v>
      </c>
      <c r="C5" t="s">
        <v>1</v>
      </c>
      <c r="E5" t="s">
        <v>68</v>
      </c>
      <c r="F5" s="8">
        <f>mflowRet*SpVolSup/60</f>
        <v>3756.090895439235</v>
      </c>
      <c r="G5" t="s">
        <v>30</v>
      </c>
    </row>
    <row r="6" spans="1:7" ht="12.75">
      <c r="A6" s="1" t="s">
        <v>48</v>
      </c>
      <c r="B6" s="1">
        <v>0.1</v>
      </c>
      <c r="E6" t="s">
        <v>70</v>
      </c>
      <c r="F6" s="8">
        <f>mflowRet*(1/0.075)/60</f>
        <v>3760.072297420493</v>
      </c>
      <c r="G6" t="s">
        <v>32</v>
      </c>
    </row>
    <row r="7" spans="1:3" ht="12.75">
      <c r="A7" s="6" t="s">
        <v>67</v>
      </c>
      <c r="B7" s="8">
        <f>QairRet/(0.075*SpVolRet)</f>
        <v>3760.0722974204937</v>
      </c>
      <c r="C7" t="s">
        <v>32</v>
      </c>
    </row>
    <row r="8" spans="5:7" ht="12.75">
      <c r="E8" t="s">
        <v>49</v>
      </c>
      <c r="F8" s="3">
        <f>Tadp+(TdbRet-Tadp)*BPFactor</f>
        <v>50.28</v>
      </c>
      <c r="G8" t="s">
        <v>1</v>
      </c>
    </row>
    <row r="9" spans="1:7" ht="12.75">
      <c r="A9" t="s">
        <v>57</v>
      </c>
      <c r="B9" s="1">
        <v>79.8</v>
      </c>
      <c r="C9" t="s">
        <v>1</v>
      </c>
      <c r="E9" t="s">
        <v>50</v>
      </c>
      <c r="F9" s="3">
        <f>Twbfind(TdbSup,HRatioSup,Elevation)</f>
        <v>49.480000000015764</v>
      </c>
      <c r="G9" t="s">
        <v>1</v>
      </c>
    </row>
    <row r="10" spans="1:7" ht="12.75">
      <c r="A10" t="s">
        <v>58</v>
      </c>
      <c r="B10" s="1">
        <v>67.1</v>
      </c>
      <c r="C10" t="s">
        <v>1</v>
      </c>
      <c r="E10" t="s">
        <v>65</v>
      </c>
      <c r="F10" s="2">
        <f>HumRat(Tadp,Tadp,Elevation)</f>
        <v>0.006974278149239937</v>
      </c>
      <c r="G10" t="s">
        <v>3</v>
      </c>
    </row>
    <row r="11" spans="1:4" ht="12.75">
      <c r="A11" t="s">
        <v>130</v>
      </c>
      <c r="B11" s="1">
        <v>0</v>
      </c>
      <c r="C11" t="s">
        <v>2</v>
      </c>
      <c r="D11" s="23"/>
    </row>
    <row r="12" spans="1:7" ht="12.75">
      <c r="A12" t="s">
        <v>4</v>
      </c>
      <c r="B12" s="5">
        <f>14.696*(1-0.0000068753*Elev)^5.2559</f>
        <v>14.696</v>
      </c>
      <c r="C12" t="s">
        <v>5</v>
      </c>
      <c r="D12" s="23"/>
      <c r="E12" t="s">
        <v>71</v>
      </c>
      <c r="F12" s="20">
        <f>mflowRet*(EnalRet-EnalSup)/1000</f>
        <v>199.33185394761676</v>
      </c>
      <c r="G12" t="s">
        <v>74</v>
      </c>
    </row>
    <row r="13" spans="1:7" ht="12.75">
      <c r="A13" t="s">
        <v>6</v>
      </c>
      <c r="B13" s="5">
        <f>AtmPress*2.03602</f>
        <v>29.225198538883625</v>
      </c>
      <c r="C13" t="s">
        <v>7</v>
      </c>
      <c r="D13" s="23"/>
      <c r="E13" t="s">
        <v>72</v>
      </c>
      <c r="F13" s="20">
        <f>mflowRet*SpHtRet*(TdbRet-TdbSup)/1000</f>
        <v>122.45725554660889</v>
      </c>
      <c r="G13" t="s">
        <v>74</v>
      </c>
    </row>
    <row r="14" spans="5:11" ht="12.75">
      <c r="E14" t="s">
        <v>73</v>
      </c>
      <c r="F14" s="21">
        <f>IF((qSensible/qTotal)&lt;1,qSensible/qTotal,1)</f>
        <v>0.6143386173430662</v>
      </c>
      <c r="K14" s="26"/>
    </row>
    <row r="15" ht="12.75">
      <c r="K15" s="26"/>
    </row>
    <row r="16" spans="1:7" ht="12.75">
      <c r="A16" t="s">
        <v>59</v>
      </c>
      <c r="B16" s="2">
        <f>HumRat(TdbRet,TwbRet,Elevation)</f>
        <v>0.011634141146843191</v>
      </c>
      <c r="C16" t="s">
        <v>3</v>
      </c>
      <c r="E16" t="s">
        <v>51</v>
      </c>
      <c r="F16" s="2">
        <f>HRatioadp+(HRatioRet-HRatioadp)*BPFactor</f>
        <v>0.007440264449000263</v>
      </c>
      <c r="G16" t="s">
        <v>3</v>
      </c>
    </row>
    <row r="17" spans="2:7" ht="12.75">
      <c r="B17" s="3">
        <f>HRatioRet*7000</f>
        <v>81.43898802790234</v>
      </c>
      <c r="C17" t="s">
        <v>12</v>
      </c>
      <c r="F17" s="3">
        <f>HRatioSup*7000</f>
        <v>52.081851143001835</v>
      </c>
      <c r="G17" t="s">
        <v>12</v>
      </c>
    </row>
    <row r="18" spans="1:7" ht="12.75">
      <c r="A18" t="s">
        <v>60</v>
      </c>
      <c r="B18" s="3">
        <f>RelHum(TdbRet,TwbRet,Elevation)</f>
        <v>52.2899172786217</v>
      </c>
      <c r="C18" t="s">
        <v>8</v>
      </c>
      <c r="E18" t="s">
        <v>52</v>
      </c>
      <c r="F18" s="3">
        <f>RelHum(TdbSup,TwbSup,Elevation)</f>
        <v>94.77791354027694</v>
      </c>
      <c r="G18" t="s">
        <v>8</v>
      </c>
    </row>
    <row r="19" spans="1:7" ht="12.75">
      <c r="A19" t="s">
        <v>61</v>
      </c>
      <c r="B19" s="4">
        <f>0.24+HRatioRet*0.444</f>
        <v>0.24516555866919837</v>
      </c>
      <c r="C19" t="s">
        <v>9</v>
      </c>
      <c r="E19" t="s">
        <v>53</v>
      </c>
      <c r="F19" s="4">
        <f>0.24+HRatioSup*0.444</f>
        <v>0.2433034774153561</v>
      </c>
      <c r="G19" t="s">
        <v>9</v>
      </c>
    </row>
    <row r="20" spans="1:7" ht="12.75">
      <c r="A20" t="s">
        <v>62</v>
      </c>
      <c r="B20" s="3">
        <f>0.24*TdbRet+HRatioRet*(1061+0.444*TdbRet)</f>
        <v>31.90803533860265</v>
      </c>
      <c r="C20" t="s">
        <v>10</v>
      </c>
      <c r="E20" t="s">
        <v>54</v>
      </c>
      <c r="F20" s="3">
        <f>0.24*TdbSup+HRatioSup*(1061+0.444*TdbSup)</f>
        <v>20.127419424833384</v>
      </c>
      <c r="G20" t="s">
        <v>10</v>
      </c>
    </row>
    <row r="21" spans="1:7" ht="12.75">
      <c r="A21" t="s">
        <v>63</v>
      </c>
      <c r="B21" s="5">
        <f>0.7543*(TdbRet+459.67)*(1+1.6078*HRatioRet)/APinHg</f>
        <v>14.184124430246028</v>
      </c>
      <c r="C21" t="s">
        <v>11</v>
      </c>
      <c r="E21" t="s">
        <v>55</v>
      </c>
      <c r="F21" s="5">
        <f>0.7543*(TdbSup+459.67)*(1+1.6078*HRatioSup)/APinHg</f>
        <v>13.319215158056084</v>
      </c>
      <c r="G21" t="s">
        <v>11</v>
      </c>
    </row>
    <row r="22" spans="1:7" ht="12.75">
      <c r="A22" t="s">
        <v>64</v>
      </c>
      <c r="B22" s="3">
        <f>DewPoint(AtmPress,HRatioRet)</f>
        <v>60.832918448402914</v>
      </c>
      <c r="C22" t="s">
        <v>1</v>
      </c>
      <c r="E22" t="s">
        <v>56</v>
      </c>
      <c r="F22" s="3">
        <f>DewPoint(AtmPress,HRatioSup)</f>
        <v>48.76264704469002</v>
      </c>
      <c r="G22" t="s">
        <v>1</v>
      </c>
    </row>
  </sheetData>
  <sheetProtection/>
  <printOptions/>
  <pageMargins left="0.75" right="0.75" top="5.08" bottom="1" header="0.5" footer="0.5"/>
  <pageSetup fitToHeight="1" fitToWidth="1" horizontalDpi="600" verticalDpi="6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alabama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Skavanaugh</dc:creator>
  <cp:keywords/>
  <dc:description/>
  <cp:lastModifiedBy>Sushil Kumar</cp:lastModifiedBy>
  <cp:lastPrinted>2005-09-08T12:53:15Z</cp:lastPrinted>
  <dcterms:created xsi:type="dcterms:W3CDTF">2003-09-23T19:14:25Z</dcterms:created>
  <dcterms:modified xsi:type="dcterms:W3CDTF">2018-06-01T04:16:51Z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-1215038926</vt:i4>
  </property>
  <property fmtid="{D5CDD505-2E9C-101B-9397-08002B2CF9AE}" pid="3" name="_EmailSubject">
    <vt:lpwstr>Program for steve</vt:lpwstr>
  </property>
  <property fmtid="{D5CDD505-2E9C-101B-9397-08002B2CF9AE}" pid="4" name="_AuthorEmail">
    <vt:lpwstr>Skavanaugh@coe.eng.ua.edu</vt:lpwstr>
  </property>
  <property fmtid="{D5CDD505-2E9C-101B-9397-08002B2CF9AE}" pid="5" name="_AuthorEmailDisplayName">
    <vt:lpwstr>Steve Kavanaugh</vt:lpwstr>
  </property>
  <property fmtid="{D5CDD505-2E9C-101B-9397-08002B2CF9AE}" pid="6" name="_ReviewingToolsShownOnce">
    <vt:lpwstr/>
  </property>
</Properties>
</file>